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BS\DI\Klaus Ising Hansen - FÆLLESDREV\07 - HJEMMESIDE\Div. beregningsskemaer\"/>
    </mc:Choice>
  </mc:AlternateContent>
  <xr:revisionPtr revIDLastSave="0" documentId="8_{998994A6-BE3B-4445-A419-F6AEF1A69B2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rudsætninger" sheetId="1" r:id="rId1"/>
    <sheet name="Figurer" sheetId="3" r:id="rId2"/>
    <sheet name="Tapventiler" sheetId="5" state="hidden" r:id="rId3"/>
    <sheet name="Dimensionering" sheetId="2" state="hidden" r:id="rId4"/>
    <sheet name="Densitet" sheetId="4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" l="1"/>
  <c r="H13" i="1"/>
  <c r="L26" i="1" l="1"/>
  <c r="K26" i="1"/>
  <c r="Q13" i="4"/>
  <c r="P13" i="4"/>
  <c r="O13" i="4"/>
  <c r="N13" i="4"/>
  <c r="M13" i="4"/>
  <c r="O14" i="4" l="1"/>
  <c r="P14" i="4"/>
  <c r="Q14" i="4"/>
  <c r="N14" i="4"/>
  <c r="R14" i="4" l="1"/>
  <c r="D27" i="1" s="1"/>
  <c r="L33" i="1" l="1"/>
  <c r="F12" i="2" s="1"/>
  <c r="K33" i="1"/>
  <c r="F6" i="2" s="1"/>
  <c r="K39" i="1" l="1"/>
  <c r="B8" i="5"/>
  <c r="C8" i="5" s="1"/>
  <c r="B7" i="5"/>
  <c r="C7" i="5" s="1"/>
  <c r="B6" i="5"/>
  <c r="C6" i="5" s="1"/>
  <c r="B5" i="5"/>
  <c r="C5" i="5" s="1"/>
  <c r="B4" i="5"/>
  <c r="C4" i="5" s="1"/>
  <c r="C9" i="5" l="1"/>
  <c r="L29" i="1" s="1"/>
  <c r="C11" i="2" s="1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K34" i="1" l="1"/>
  <c r="K37" i="1" s="1"/>
  <c r="L34" i="1"/>
  <c r="K29" i="1"/>
  <c r="C5" i="2" s="1"/>
  <c r="L30" i="1"/>
  <c r="K30" i="1"/>
  <c r="L37" i="1" l="1"/>
  <c r="H11" i="2"/>
  <c r="H5" i="2"/>
  <c r="L32" i="1"/>
  <c r="K32" i="1"/>
  <c r="L31" i="1"/>
  <c r="K31" i="1"/>
  <c r="D11" i="2"/>
  <c r="D5" i="2"/>
  <c r="E5" i="2" l="1"/>
  <c r="G5" i="2" s="1"/>
  <c r="E11" i="2"/>
  <c r="G11" i="2" s="1"/>
  <c r="A5" i="2"/>
  <c r="A11" i="2"/>
  <c r="I11" i="2" l="1"/>
  <c r="L36" i="1" s="1"/>
  <c r="J11" i="2"/>
  <c r="L35" i="1" s="1"/>
  <c r="I5" i="2"/>
  <c r="K36" i="1" s="1"/>
  <c r="J5" i="2"/>
  <c r="K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Ising Drost Hansen</author>
  </authors>
  <commentList>
    <comment ref="M20" authorId="0" shapeId="0" xr:uid="{A2FD7534-303B-48BB-97DA-9A906445443B}">
      <text>
        <r>
          <rPr>
            <b/>
            <sz val="9"/>
            <color indexed="81"/>
            <rFont val="Tahoma"/>
            <charset val="1"/>
          </rPr>
          <t>John Ising Drost Hansen: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<sst xmlns="http://schemas.openxmlformats.org/spreadsheetml/2006/main" count="194" uniqueCount="170">
  <si>
    <t>Qr</t>
  </si>
  <si>
    <t>Fx</t>
  </si>
  <si>
    <t>Tapventiler</t>
  </si>
  <si>
    <t>Autovaske</t>
  </si>
  <si>
    <t>Højtryksrenser</t>
  </si>
  <si>
    <t>Fd</t>
  </si>
  <si>
    <t>NS</t>
  </si>
  <si>
    <t>regnvand</t>
  </si>
  <si>
    <t>Rensemiddel</t>
  </si>
  <si>
    <t>anlæg</t>
  </si>
  <si>
    <t>densitet</t>
  </si>
  <si>
    <t>Beregningsskema til dimensionering af udskilleranlæg for benzin og olie</t>
  </si>
  <si>
    <t>Et udskilleranlæg består af følgende 3 dele:</t>
  </si>
  <si>
    <t>Udskiller</t>
  </si>
  <si>
    <t>Prøvebrønd</t>
  </si>
  <si>
    <t>- Slamfang bør altid have en volumen på mindst 0,6 m3</t>
  </si>
  <si>
    <t>- Ved brug af højtryksrenser bør slamfang have en volumen på mindst 2,5 m3</t>
  </si>
  <si>
    <t>- Ved autovaskanlæg bør slamfang have en volumen på mindst 5 m3</t>
  </si>
  <si>
    <t xml:space="preserve">Beregningsskema til dimensionering udskilleranlæg </t>
  </si>
  <si>
    <t>note</t>
  </si>
  <si>
    <t>tast antal m2</t>
  </si>
  <si>
    <t>tast antal</t>
  </si>
  <si>
    <t>Figur 1:</t>
  </si>
  <si>
    <t>Figur 2:</t>
  </si>
  <si>
    <t>Figur 3:</t>
  </si>
  <si>
    <r>
      <rPr>
        <b/>
        <sz val="11"/>
        <color theme="1"/>
        <rFont val="Calibri"/>
        <family val="2"/>
        <scheme val="minor"/>
      </rPr>
      <t>Parkeringspladser m.v.</t>
    </r>
    <r>
      <rPr>
        <sz val="11"/>
        <color theme="1"/>
        <rFont val="Calibri"/>
        <family val="2"/>
        <scheme val="minor"/>
      </rPr>
      <t xml:space="preserve"> - Nominel størrelse (NS) (Der skal kun tastes i felterne for regnvandsmængde og densitetsfaktor) </t>
    </r>
  </si>
  <si>
    <t xml:space="preserve">Regnvandsmængde (Qr) </t>
  </si>
  <si>
    <t>Valgt udskillerstørrelse anføres her (Handelsbetegnelsen)</t>
  </si>
  <si>
    <t>Autovaskeanlæg (Qs) ( 2 l/s pr. stk. )</t>
  </si>
  <si>
    <t>Højtryksrenser (Qs) ud over den første</t>
  </si>
  <si>
    <t>eller fremkomst af nye standarder m.v. kan der forekomme fejl eller unøjagtigheder i beregningsskemaerne.</t>
  </si>
  <si>
    <t xml:space="preserve">Højtryksrenser (Qs) 1 stk. </t>
  </si>
  <si>
    <r>
      <t xml:space="preserve">Vaskepladser m.v. </t>
    </r>
    <r>
      <rPr>
        <sz val="11"/>
        <color theme="1"/>
        <rFont val="Calibri"/>
        <family val="2"/>
        <scheme val="minor"/>
      </rPr>
      <t>- Nominel størrelse (NS) (med brug af rensemidler (fx))</t>
    </r>
  </si>
  <si>
    <r>
      <t xml:space="preserve">Vaskepladser m.v. </t>
    </r>
    <r>
      <rPr>
        <sz val="11"/>
        <color theme="1"/>
        <rFont val="Calibri"/>
        <family val="2"/>
        <scheme val="minor"/>
      </rPr>
      <t>- Nominel størrelse (NS) (uden brug af rensemidler (fx))</t>
    </r>
  </si>
  <si>
    <t xml:space="preserve">- Der regnes ikke med faktor for biodisel (famefaktor) </t>
  </si>
  <si>
    <t>QS</t>
  </si>
  <si>
    <t>3+4+5</t>
  </si>
  <si>
    <t>(Qs + Qr) x fd</t>
  </si>
  <si>
    <t>((Qs x Fx) + Qr)) x fd</t>
  </si>
  <si>
    <t>Qs</t>
  </si>
  <si>
    <t>Projekt navn:</t>
  </si>
  <si>
    <t>Dato:</t>
  </si>
  <si>
    <t>*</t>
  </si>
  <si>
    <t>l/s</t>
  </si>
  <si>
    <t>tast antal (1)</t>
  </si>
  <si>
    <t>Densitetstabel</t>
  </si>
  <si>
    <t>Lette væsker</t>
  </si>
  <si>
    <t>Densitet fra</t>
  </si>
  <si>
    <t>fd - klasse 1</t>
  </si>
  <si>
    <t>fd - Klasse 2</t>
  </si>
  <si>
    <t>Benzin, blandinger</t>
  </si>
  <si>
    <t>770-790</t>
  </si>
  <si>
    <t>Benzin, svær</t>
  </si>
  <si>
    <t>700-750</t>
  </si>
  <si>
    <t>Benzin, traktorer</t>
  </si>
  <si>
    <t>Brændselsolie, let</t>
  </si>
  <si>
    <t>Brændselsolie, medium</t>
  </si>
  <si>
    <t>Brændselsolie, svær</t>
  </si>
  <si>
    <t>940-990</t>
  </si>
  <si>
    <t>Butylalkohol</t>
  </si>
  <si>
    <t>814-817</t>
  </si>
  <si>
    <t>Butylacatat</t>
  </si>
  <si>
    <t>Cyclohexanol</t>
  </si>
  <si>
    <t>Cyclohexanon</t>
  </si>
  <si>
    <t>Dekahydro (naftalin)</t>
  </si>
  <si>
    <t>887-890</t>
  </si>
  <si>
    <t>Dieselbrændstof</t>
  </si>
  <si>
    <t>850-860</t>
  </si>
  <si>
    <t>Diethyleter</t>
  </si>
  <si>
    <t>720-722</t>
  </si>
  <si>
    <t>Eddikesyre amylester</t>
  </si>
  <si>
    <t>860-870</t>
  </si>
  <si>
    <t>Eddikesyre ethylester</t>
  </si>
  <si>
    <t>Eddikesyre metylester</t>
  </si>
  <si>
    <t>Eddikesyre n-butylester</t>
  </si>
  <si>
    <t>Eddikeæter</t>
  </si>
  <si>
    <t>870-900</t>
  </si>
  <si>
    <t>Firolie</t>
  </si>
  <si>
    <t>Gasolie</t>
  </si>
  <si>
    <t>880-890</t>
  </si>
  <si>
    <t>Gul olie</t>
  </si>
  <si>
    <t>Heptan</t>
  </si>
  <si>
    <t>Isobutylalkohol</t>
  </si>
  <si>
    <t>Kemisk ren benzen</t>
  </si>
  <si>
    <t>Kresolie</t>
  </si>
  <si>
    <t>860-880</t>
  </si>
  <si>
    <t>Kultjæreolie</t>
  </si>
  <si>
    <t>900-940</t>
  </si>
  <si>
    <t>Let olie</t>
  </si>
  <si>
    <t>Metylcyclohexanol</t>
  </si>
  <si>
    <t>Myresyre</t>
  </si>
  <si>
    <t>Myresyremethylester</t>
  </si>
  <si>
    <t>880-940</t>
  </si>
  <si>
    <t>Petroleum</t>
  </si>
  <si>
    <t>Propionsyreethylester</t>
  </si>
  <si>
    <t>Propylbutyrat</t>
  </si>
  <si>
    <t>Smøreolie</t>
  </si>
  <si>
    <t>890-900</t>
  </si>
  <si>
    <t>Terpentinolie</t>
  </si>
  <si>
    <t>Tetraline</t>
  </si>
  <si>
    <t>Toluen</t>
  </si>
  <si>
    <t>Transformerolie</t>
  </si>
  <si>
    <t>Xylen</t>
  </si>
  <si>
    <t>Ætylbutyrat</t>
  </si>
  <si>
    <t>1. Tapventil</t>
  </si>
  <si>
    <t>2. Tapventil</t>
  </si>
  <si>
    <t>3. Tapventil</t>
  </si>
  <si>
    <t>4. Tapventil</t>
  </si>
  <si>
    <t>5. Tapventil</t>
  </si>
  <si>
    <t>Diameter i mm</t>
  </si>
  <si>
    <t>Qs1</t>
  </si>
  <si>
    <t>Samlet</t>
  </si>
  <si>
    <t>DN 15 (1/2")</t>
  </si>
  <si>
    <t>DN 20 (3/4")</t>
  </si>
  <si>
    <t>DN 25 (1")</t>
  </si>
  <si>
    <t>Vælg tapventil, start med den største dimension.</t>
  </si>
  <si>
    <t>1. tapventil</t>
  </si>
  <si>
    <t>2. tapventil</t>
  </si>
  <si>
    <t>3. tapventil</t>
  </si>
  <si>
    <t>4. tapventil</t>
  </si>
  <si>
    <t>5. tapventil</t>
  </si>
  <si>
    <t>DN 15 (1/2'')</t>
  </si>
  <si>
    <t>DN 20 (3/4'')</t>
  </si>
  <si>
    <t>DN 25 (1'')</t>
  </si>
  <si>
    <t>1.tapventil</t>
  </si>
  <si>
    <t>2.tapventil</t>
  </si>
  <si>
    <t>3.tapventil</t>
  </si>
  <si>
    <t>4.tapventil</t>
  </si>
  <si>
    <t>5.tapventil</t>
  </si>
  <si>
    <t>Tapventiler (Qs), vælg</t>
  </si>
  <si>
    <t>start med største diameter</t>
  </si>
  <si>
    <t>Densitetsfaktoren (fd) for den toneangivende væske der skal udskilles anføres her - vælg fra liste</t>
  </si>
  <si>
    <t>Liter</t>
  </si>
  <si>
    <t>Udskilleranlæg skal dimensioneres iht. DS/EN 858-2 efter følgende formel:  NS = (Qr + fx x Qs) x fd</t>
  </si>
  <si>
    <t>- Der er i beregningsskemaet anvendt faktor 2 for brug af rensemidler på vaskepladser</t>
  </si>
  <si>
    <t>Alm. Olie-</t>
  </si>
  <si>
    <t>Koalecens-</t>
  </si>
  <si>
    <t>udskiller</t>
  </si>
  <si>
    <t>Slamfang</t>
  </si>
  <si>
    <t xml:space="preserve">Størrelse i </t>
  </si>
  <si>
    <t>Andre installationer (QS)</t>
  </si>
  <si>
    <t>Andre</t>
  </si>
  <si>
    <t>installationer</t>
  </si>
  <si>
    <t>Anvendte forudsætninger:</t>
  </si>
  <si>
    <t>- Koalecensudskiller bør bruges når olien emulgeres, fx på vaskepladser ved brug af højtryksrenser m.v.</t>
  </si>
  <si>
    <t>- Der er brugt en intensitet på * l/s, når regnvand tilledes udskiller</t>
  </si>
  <si>
    <t>Tast kun beregningsdata i gule felter</t>
  </si>
  <si>
    <t>tast l/s</t>
  </si>
  <si>
    <r>
      <t xml:space="preserve">Alm. olieudskiller: </t>
    </r>
    <r>
      <rPr>
        <sz val="11"/>
        <color theme="1"/>
        <rFont val="Calibri"/>
        <family val="2"/>
        <scheme val="minor"/>
      </rPr>
      <t>Beregningsskema til dimensionering af følgende kombination:</t>
    </r>
    <r>
      <rPr>
        <b/>
        <sz val="11"/>
        <color theme="1"/>
        <rFont val="Calibri"/>
        <family val="2"/>
        <scheme val="minor"/>
      </rPr>
      <t xml:space="preserve"> Slamfang - Benzin/olieudskiller - Prøvebrønd</t>
    </r>
  </si>
  <si>
    <r>
      <t xml:space="preserve">Koalecensudskiller: </t>
    </r>
    <r>
      <rPr>
        <sz val="11"/>
        <color theme="1"/>
        <rFont val="Calibri"/>
        <family val="2"/>
        <scheme val="minor"/>
      </rPr>
      <t>Beregningsskema til dimensionering af følgende kombination:</t>
    </r>
    <r>
      <rPr>
        <b/>
        <sz val="11"/>
        <color theme="1"/>
        <rFont val="Calibri"/>
        <family val="2"/>
        <scheme val="minor"/>
      </rPr>
      <t xml:space="preserve"> Slamfang - Koalescensudskiller - Prøvebrønd</t>
    </r>
  </si>
  <si>
    <t>Kontrolberegning af rækkefølge på tap ventiler</t>
  </si>
  <si>
    <t>1. tap</t>
  </si>
  <si>
    <t>2. tap</t>
  </si>
  <si>
    <t>3. tap</t>
  </si>
  <si>
    <t>4. tap</t>
  </si>
  <si>
    <t>5. tap</t>
  </si>
  <si>
    <t>SUM</t>
  </si>
  <si>
    <t>- Der er brugt kilmafaktor**</t>
  </si>
  <si>
    <t>**</t>
  </si>
  <si>
    <t>Ingen</t>
  </si>
  <si>
    <t>T=1 år - 120 L/S</t>
  </si>
  <si>
    <t>T=2 år - 150 L/S</t>
  </si>
  <si>
    <t>T=10 år - 230 L/S</t>
  </si>
  <si>
    <t>T=100 år - 380 L/S</t>
  </si>
  <si>
    <t>T=1 år - 1,1</t>
  </si>
  <si>
    <t>T=2 år - 1,2</t>
  </si>
  <si>
    <t>T=10 år - 1,3</t>
  </si>
  <si>
    <t>T=100 år - 1,4</t>
  </si>
  <si>
    <t>Byggeriets Kvalitetskontrol tilstræber at beregningsskemaer m.v. er korrekte, men bl.a. som følge af lovændringer</t>
  </si>
  <si>
    <t>Byggeriets Kvalitetskontrol påtager sig derfor intet ansvar for beregningsskemaernes rigtighed eller for enhver utilsigtet virkning af deres brug.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</si>
</sst>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5" xfId="0" applyFont="1" applyBorder="1"/>
    <xf numFmtId="0" fontId="4" fillId="0" borderId="1" xfId="0" applyFont="1" applyBorder="1"/>
    <xf numFmtId="0" fontId="4" fillId="0" borderId="6" xfId="0" applyFont="1" applyBorder="1"/>
    <xf numFmtId="0" fontId="0" fillId="0" borderId="0" xfId="0"/>
    <xf numFmtId="0" fontId="0" fillId="2" borderId="20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20" xfId="0" applyFill="1" applyBorder="1" applyProtection="1"/>
    <xf numFmtId="0" fontId="0" fillId="0" borderId="0" xfId="0" applyProtection="1"/>
    <xf numFmtId="0" fontId="0" fillId="0" borderId="19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0" xfId="0" applyBorder="1" applyProtection="1"/>
    <xf numFmtId="0" fontId="1" fillId="0" borderId="0" xfId="0" applyFont="1" applyProtection="1"/>
    <xf numFmtId="0" fontId="0" fillId="0" borderId="0" xfId="0" quotePrefix="1" applyProtection="1"/>
    <xf numFmtId="0" fontId="2" fillId="0" borderId="0" xfId="0" applyFont="1" applyProtection="1"/>
    <xf numFmtId="0" fontId="0" fillId="0" borderId="2" xfId="0" applyBorder="1" applyProtection="1"/>
    <xf numFmtId="0" fontId="0" fillId="0" borderId="3" xfId="0" applyBorder="1" applyProtection="1"/>
    <xf numFmtId="0" fontId="0" fillId="3" borderId="2" xfId="0" applyFill="1" applyBorder="1" applyProtection="1"/>
    <xf numFmtId="0" fontId="0" fillId="0" borderId="20" xfId="0" applyBorder="1" applyAlignment="1" applyProtection="1">
      <alignment horizontal="center"/>
    </xf>
    <xf numFmtId="0" fontId="1" fillId="0" borderId="0" xfId="0" applyFont="1" applyBorder="1" applyAlignment="1" applyProtection="1"/>
    <xf numFmtId="0" fontId="1" fillId="0" borderId="0" xfId="0" applyFont="1" applyBorder="1" applyProtection="1"/>
    <xf numFmtId="0" fontId="1" fillId="0" borderId="2" xfId="0" applyFont="1" applyBorder="1" applyAlignment="1" applyProtection="1"/>
    <xf numFmtId="0" fontId="1" fillId="0" borderId="2" xfId="0" applyFont="1" applyBorder="1" applyProtection="1"/>
    <xf numFmtId="0" fontId="1" fillId="0" borderId="22" xfId="0" applyFont="1" applyBorder="1" applyProtection="1"/>
    <xf numFmtId="0" fontId="1" fillId="3" borderId="4" xfId="0" applyFont="1" applyFill="1" applyBorder="1" applyProtection="1"/>
    <xf numFmtId="0" fontId="1" fillId="0" borderId="20" xfId="0" applyFont="1" applyBorder="1" applyProtection="1"/>
    <xf numFmtId="0" fontId="1" fillId="0" borderId="3" xfId="0" applyFont="1" applyBorder="1" applyProtection="1"/>
    <xf numFmtId="0" fontId="1" fillId="3" borderId="4" xfId="0" applyFont="1" applyFill="1" applyBorder="1" applyAlignment="1" applyProtection="1">
      <alignment horizontal="right"/>
    </xf>
    <xf numFmtId="0" fontId="4" fillId="0" borderId="23" xfId="0" applyFont="1" applyBorder="1"/>
    <xf numFmtId="0" fontId="4" fillId="0" borderId="24" xfId="0" applyFont="1" applyBorder="1"/>
    <xf numFmtId="0" fontId="4" fillId="0" borderId="19" xfId="0" applyFont="1" applyBorder="1"/>
    <xf numFmtId="0" fontId="1" fillId="0" borderId="19" xfId="0" applyFont="1" applyBorder="1" applyProtection="1"/>
    <xf numFmtId="0" fontId="2" fillId="0" borderId="20" xfId="0" applyFont="1" applyBorder="1" applyProtection="1"/>
    <xf numFmtId="0" fontId="0" fillId="0" borderId="0" xfId="0" applyAlignment="1">
      <alignment horizontal="left"/>
    </xf>
    <xf numFmtId="0" fontId="0" fillId="0" borderId="25" xfId="0" applyBorder="1"/>
    <xf numFmtId="0" fontId="0" fillId="0" borderId="26" xfId="0" applyBorder="1" applyProtection="1"/>
    <xf numFmtId="0" fontId="0" fillId="2" borderId="0" xfId="0" applyFill="1"/>
    <xf numFmtId="0" fontId="5" fillId="2" borderId="3" xfId="0" applyFont="1" applyFill="1" applyBorder="1" applyProtection="1">
      <protection locked="0"/>
    </xf>
    <xf numFmtId="0" fontId="0" fillId="0" borderId="0" xfId="0" applyAlignment="1" applyProtection="1">
      <alignment horizontal="right"/>
    </xf>
    <xf numFmtId="0" fontId="0" fillId="3" borderId="3" xfId="0" applyFill="1" applyBorder="1" applyProtection="1"/>
    <xf numFmtId="0" fontId="4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0" xfId="0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4" borderId="27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0" borderId="0" xfId="0" applyFill="1" applyBorder="1" applyProtection="1"/>
    <xf numFmtId="0" fontId="0" fillId="2" borderId="0" xfId="0" applyFill="1" applyProtection="1">
      <protection locked="0"/>
    </xf>
    <xf numFmtId="0" fontId="0" fillId="3" borderId="0" xfId="0" applyFill="1" applyProtection="1"/>
    <xf numFmtId="0" fontId="5" fillId="0" borderId="0" xfId="0" applyFont="1" applyBorder="1" applyProtection="1"/>
    <xf numFmtId="0" fontId="0" fillId="3" borderId="0" xfId="0" applyFill="1" applyBorder="1" applyProtection="1"/>
    <xf numFmtId="0" fontId="2" fillId="0" borderId="2" xfId="0" applyFont="1" applyBorder="1" applyAlignment="1" applyProtection="1"/>
    <xf numFmtId="0" fontId="0" fillId="0" borderId="29" xfId="0" applyBorder="1" applyProtection="1"/>
    <xf numFmtId="0" fontId="1" fillId="0" borderId="30" xfId="0" applyFont="1" applyBorder="1" applyProtection="1"/>
    <xf numFmtId="0" fontId="0" fillId="0" borderId="28" xfId="0" applyBorder="1" applyProtection="1"/>
    <xf numFmtId="0" fontId="0" fillId="0" borderId="30" xfId="0" applyBorder="1" applyProtection="1"/>
    <xf numFmtId="0" fontId="0" fillId="0" borderId="24" xfId="0" applyBorder="1" applyProtection="1"/>
    <xf numFmtId="0" fontId="0" fillId="3" borderId="31" xfId="0" applyFill="1" applyBorder="1" applyProtection="1"/>
    <xf numFmtId="0" fontId="0" fillId="0" borderId="31" xfId="0" applyBorder="1" applyProtection="1"/>
    <xf numFmtId="0" fontId="0" fillId="3" borderId="29" xfId="0" applyFill="1" applyBorder="1" applyProtection="1"/>
    <xf numFmtId="0" fontId="1" fillId="0" borderId="28" xfId="0" applyFont="1" applyBorder="1" applyAlignment="1" applyProtection="1"/>
    <xf numFmtId="0" fontId="1" fillId="3" borderId="32" xfId="0" applyFont="1" applyFill="1" applyBorder="1" applyProtection="1"/>
    <xf numFmtId="0" fontId="0" fillId="0" borderId="28" xfId="0" applyBorder="1" applyAlignment="1" applyProtection="1"/>
    <xf numFmtId="0" fontId="1" fillId="3" borderId="32" xfId="0" applyFont="1" applyFill="1" applyBorder="1" applyAlignment="1" applyProtection="1">
      <alignment horizontal="right"/>
    </xf>
    <xf numFmtId="0" fontId="0" fillId="0" borderId="20" xfId="0" applyBorder="1" applyAlignment="1" applyProtection="1">
      <alignment horizontal="right"/>
    </xf>
    <xf numFmtId="0" fontId="1" fillId="5" borderId="33" xfId="0" applyFont="1" applyFill="1" applyBorder="1"/>
    <xf numFmtId="0" fontId="1" fillId="5" borderId="34" xfId="0" applyFont="1" applyFill="1" applyBorder="1"/>
    <xf numFmtId="0" fontId="1" fillId="5" borderId="35" xfId="0" applyFont="1" applyFill="1" applyBorder="1"/>
    <xf numFmtId="0" fontId="1" fillId="6" borderId="26" xfId="0" applyFont="1" applyFill="1" applyBorder="1" applyAlignment="1">
      <alignment horizontal="right"/>
    </xf>
    <xf numFmtId="0" fontId="1" fillId="6" borderId="0" xfId="0" applyFont="1" applyFill="1" applyBorder="1" applyAlignment="1">
      <alignment horizontal="right"/>
    </xf>
    <xf numFmtId="0" fontId="1" fillId="7" borderId="30" xfId="0" applyFont="1" applyFill="1" applyBorder="1" applyAlignment="1">
      <alignment horizontal="right"/>
    </xf>
    <xf numFmtId="0" fontId="0" fillId="6" borderId="26" xfId="0" applyFill="1" applyBorder="1" applyProtection="1"/>
    <xf numFmtId="0" fontId="0" fillId="6" borderId="0" xfId="0" applyFill="1" applyBorder="1" applyProtection="1"/>
    <xf numFmtId="0" fontId="0" fillId="7" borderId="30" xfId="0" applyFill="1" applyBorder="1" applyProtection="1"/>
    <xf numFmtId="0" fontId="0" fillId="6" borderId="24" xfId="0" applyFill="1" applyBorder="1" applyProtection="1"/>
    <xf numFmtId="0" fontId="0" fillId="6" borderId="3" xfId="0" applyFill="1" applyBorder="1" applyProtection="1"/>
    <xf numFmtId="0" fontId="0" fillId="7" borderId="31" xfId="0" applyFill="1" applyBorder="1" applyProtection="1"/>
    <xf numFmtId="0" fontId="0" fillId="0" borderId="0" xfId="0" quotePrefix="1" applyAlignment="1" applyProtection="1">
      <alignment horizontal="right"/>
    </xf>
    <xf numFmtId="0" fontId="7" fillId="3" borderId="0" xfId="0" applyFont="1" applyFill="1" applyProtection="1"/>
    <xf numFmtId="0" fontId="2" fillId="0" borderId="2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1" fillId="0" borderId="26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21" xfId="0" applyFont="1" applyFill="1" applyBorder="1" applyAlignment="1" applyProtection="1">
      <alignment horizontal="center"/>
    </xf>
    <xf numFmtId="14" fontId="1" fillId="4" borderId="20" xfId="0" applyNumberFormat="1" applyFont="1" applyFill="1" applyBorder="1" applyAlignment="1" applyProtection="1">
      <alignment horizontal="right"/>
      <protection locked="0"/>
    </xf>
    <xf numFmtId="0" fontId="1" fillId="4" borderId="21" xfId="0" applyFont="1" applyFill="1" applyBorder="1" applyAlignment="1" applyProtection="1">
      <alignment horizontal="right"/>
      <protection locked="0"/>
    </xf>
    <xf numFmtId="0" fontId="1" fillId="4" borderId="20" xfId="0" applyFont="1" applyFill="1" applyBorder="1" applyAlignment="1" applyProtection="1">
      <alignment horizontal="left"/>
      <protection locked="0"/>
    </xf>
    <xf numFmtId="0" fontId="1" fillId="4" borderId="21" xfId="0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4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5</xdr:row>
      <xdr:rowOff>38100</xdr:rowOff>
    </xdr:from>
    <xdr:to>
      <xdr:col>4</xdr:col>
      <xdr:colOff>609600</xdr:colOff>
      <xdr:row>5</xdr:row>
      <xdr:rowOff>142875</xdr:rowOff>
    </xdr:to>
    <xdr:sp macro="" textlink="">
      <xdr:nvSpPr>
        <xdr:cNvPr id="2" name="Højrepi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95675" y="1047750"/>
          <a:ext cx="476250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6</xdr:col>
      <xdr:colOff>85725</xdr:colOff>
      <xdr:row>5</xdr:row>
      <xdr:rowOff>47625</xdr:rowOff>
    </xdr:from>
    <xdr:to>
      <xdr:col>6</xdr:col>
      <xdr:colOff>561975</xdr:colOff>
      <xdr:row>5</xdr:row>
      <xdr:rowOff>152400</xdr:rowOff>
    </xdr:to>
    <xdr:sp macro="" textlink="">
      <xdr:nvSpPr>
        <xdr:cNvPr id="3" name="Højrepi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33950" y="1057275"/>
          <a:ext cx="476250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142875</xdr:colOff>
      <xdr:row>18</xdr:row>
      <xdr:rowOff>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6238875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23</xdr:col>
      <xdr:colOff>104775</xdr:colOff>
      <xdr:row>50</xdr:row>
      <xdr:rowOff>152400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90500"/>
          <a:ext cx="6200775" cy="948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247650</xdr:colOff>
      <xdr:row>66</xdr:row>
      <xdr:rowOff>54009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0"/>
          <a:ext cx="4514850" cy="8817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3"/>
  <sheetViews>
    <sheetView showGridLines="0" tabSelected="1" zoomScale="85" zoomScaleNormal="85" workbookViewId="0">
      <selection activeCell="G13" sqref="G13"/>
    </sheetView>
  </sheetViews>
  <sheetFormatPr defaultRowHeight="15" x14ac:dyDescent="0.25"/>
  <cols>
    <col min="1" max="1" width="5.140625" style="15" customWidth="1"/>
    <col min="2" max="2" width="12.28515625" style="15" customWidth="1"/>
    <col min="3" max="3" width="23.85546875" style="15" customWidth="1"/>
    <col min="4" max="4" width="9.5703125" style="15" customWidth="1"/>
    <col min="5" max="5" width="11.28515625" style="15" customWidth="1"/>
    <col min="6" max="6" width="12.28515625" style="15" customWidth="1"/>
    <col min="7" max="7" width="15.5703125" style="15" customWidth="1"/>
    <col min="8" max="8" width="12.140625" style="15" customWidth="1"/>
    <col min="9" max="9" width="24.140625" style="15" customWidth="1"/>
    <col min="10" max="10" width="9" style="15" customWidth="1"/>
    <col min="11" max="11" width="9.85546875" style="15" customWidth="1"/>
    <col min="12" max="12" width="10.28515625" style="15" customWidth="1"/>
    <col min="13" max="16384" width="9.140625" style="15"/>
  </cols>
  <sheetData>
    <row r="2" spans="1:11" ht="18.75" x14ac:dyDescent="0.3">
      <c r="A2" s="91" t="s">
        <v>11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11" x14ac:dyDescent="0.25">
      <c r="A4" s="15" t="s">
        <v>133</v>
      </c>
    </row>
    <row r="5" spans="1:11" ht="15.75" thickBot="1" x14ac:dyDescent="0.3"/>
    <row r="6" spans="1:11" ht="15.75" thickBot="1" x14ac:dyDescent="0.3">
      <c r="A6" s="15" t="s">
        <v>12</v>
      </c>
      <c r="D6" s="16" t="s">
        <v>138</v>
      </c>
      <c r="E6" s="17"/>
      <c r="F6" s="26" t="s">
        <v>13</v>
      </c>
      <c r="G6" s="17"/>
      <c r="H6" s="18" t="s">
        <v>14</v>
      </c>
      <c r="I6" s="43"/>
      <c r="J6" s="19"/>
    </row>
    <row r="7" spans="1:11" x14ac:dyDescent="0.25">
      <c r="D7" s="19"/>
      <c r="E7" s="19"/>
      <c r="F7" s="19"/>
      <c r="G7" s="19"/>
      <c r="H7" s="19"/>
      <c r="I7" s="19"/>
      <c r="J7" s="19"/>
    </row>
    <row r="8" spans="1:11" x14ac:dyDescent="0.25">
      <c r="A8" s="20" t="s">
        <v>143</v>
      </c>
    </row>
    <row r="9" spans="1:11" x14ac:dyDescent="0.25">
      <c r="A9" s="21" t="s">
        <v>144</v>
      </c>
    </row>
    <row r="10" spans="1:11" x14ac:dyDescent="0.25">
      <c r="A10" s="21" t="s">
        <v>15</v>
      </c>
    </row>
    <row r="11" spans="1:11" x14ac:dyDescent="0.25">
      <c r="A11" s="21" t="s">
        <v>16</v>
      </c>
    </row>
    <row r="12" spans="1:11" x14ac:dyDescent="0.25">
      <c r="A12" s="21" t="s">
        <v>17</v>
      </c>
    </row>
    <row r="13" spans="1:11" x14ac:dyDescent="0.25">
      <c r="A13" s="21" t="s">
        <v>145</v>
      </c>
      <c r="F13" s="46" t="s">
        <v>42</v>
      </c>
      <c r="G13" s="55"/>
      <c r="H13" s="86" t="e">
        <f>VLOOKUP(G13,Densitet!M19:N22,2,FALSE)</f>
        <v>#N/A</v>
      </c>
      <c r="J13" s="46"/>
      <c r="K13" s="56"/>
    </row>
    <row r="14" spans="1:11" x14ac:dyDescent="0.25">
      <c r="A14" s="21" t="s">
        <v>157</v>
      </c>
      <c r="F14" s="85" t="s">
        <v>158</v>
      </c>
      <c r="G14" s="55"/>
      <c r="H14" s="86" t="e">
        <f>VLOOKUP(G14,Densitet!M24:N28,2,FALSE)</f>
        <v>#N/A</v>
      </c>
      <c r="J14" s="46"/>
      <c r="K14" s="56"/>
    </row>
    <row r="15" spans="1:11" x14ac:dyDescent="0.25">
      <c r="A15" s="21" t="s">
        <v>134</v>
      </c>
    </row>
    <row r="16" spans="1:11" x14ac:dyDescent="0.25">
      <c r="A16" s="21" t="s">
        <v>34</v>
      </c>
    </row>
    <row r="17" spans="1:12" x14ac:dyDescent="0.25">
      <c r="A17" s="21"/>
    </row>
    <row r="18" spans="1:12" x14ac:dyDescent="0.25">
      <c r="A18" s="20" t="s">
        <v>148</v>
      </c>
      <c r="B18" s="22"/>
      <c r="C18" s="22"/>
      <c r="D18" s="22"/>
    </row>
    <row r="19" spans="1:12" x14ac:dyDescent="0.25">
      <c r="A19" s="20" t="s">
        <v>149</v>
      </c>
      <c r="B19" s="22"/>
      <c r="C19" s="22"/>
      <c r="D19" s="22"/>
    </row>
    <row r="20" spans="1:12" ht="15.75" thickBot="1" x14ac:dyDescent="0.3">
      <c r="A20" s="20"/>
      <c r="B20" s="22"/>
      <c r="C20" s="22"/>
      <c r="D20" s="22"/>
    </row>
    <row r="21" spans="1:12" ht="15.75" thickBot="1" x14ac:dyDescent="0.3">
      <c r="A21" s="39" t="s">
        <v>40</v>
      </c>
      <c r="B21" s="40"/>
      <c r="C21" s="96"/>
      <c r="D21" s="96"/>
      <c r="E21" s="97"/>
      <c r="J21" s="39" t="s">
        <v>41</v>
      </c>
      <c r="K21" s="94"/>
      <c r="L21" s="95"/>
    </row>
    <row r="22" spans="1:12" ht="15.75" thickBot="1" x14ac:dyDescent="0.3"/>
    <row r="23" spans="1:12" x14ac:dyDescent="0.25">
      <c r="A23" s="87" t="s">
        <v>18</v>
      </c>
      <c r="B23" s="88"/>
      <c r="C23" s="88"/>
      <c r="D23" s="88"/>
      <c r="E23" s="88"/>
      <c r="F23" s="88"/>
      <c r="G23" s="88"/>
      <c r="H23" s="88"/>
      <c r="I23" s="88"/>
      <c r="J23" s="88"/>
      <c r="K23" s="59"/>
      <c r="L23" s="60"/>
    </row>
    <row r="24" spans="1:12" x14ac:dyDescent="0.25">
      <c r="A24" s="89" t="s">
        <v>146</v>
      </c>
      <c r="B24" s="90"/>
      <c r="C24" s="90"/>
      <c r="D24" s="90"/>
      <c r="E24" s="90"/>
      <c r="F24" s="90"/>
      <c r="G24" s="90"/>
      <c r="H24" s="90"/>
      <c r="I24" s="90"/>
      <c r="J24" s="90"/>
      <c r="K24" s="27" t="s">
        <v>135</v>
      </c>
      <c r="L24" s="61" t="s">
        <v>136</v>
      </c>
    </row>
    <row r="25" spans="1:12" ht="15.75" thickBot="1" x14ac:dyDescent="0.3">
      <c r="A25" s="43"/>
      <c r="B25" s="19"/>
      <c r="C25" s="19"/>
      <c r="D25" s="19"/>
      <c r="E25" s="19"/>
      <c r="F25" s="19"/>
      <c r="G25" s="19"/>
      <c r="H25" s="19"/>
      <c r="I25" s="28" t="s">
        <v>19</v>
      </c>
      <c r="J25" s="19"/>
      <c r="K25" s="51" t="s">
        <v>137</v>
      </c>
      <c r="L25" s="61" t="s">
        <v>137</v>
      </c>
    </row>
    <row r="26" spans="1:12" x14ac:dyDescent="0.25">
      <c r="A26" s="62" t="s">
        <v>26</v>
      </c>
      <c r="B26" s="23"/>
      <c r="C26" s="23"/>
      <c r="D26" s="23"/>
      <c r="E26" s="23"/>
      <c r="F26" s="23"/>
      <c r="G26" s="23"/>
      <c r="H26" s="23"/>
      <c r="I26" s="23" t="s">
        <v>20</v>
      </c>
      <c r="J26" s="12"/>
      <c r="K26" s="23">
        <f>IFERROR(J26*H13*H14/10000,0)</f>
        <v>0</v>
      </c>
      <c r="L26" s="60">
        <f>IFERROR(J26*H13*H14/10000,0)</f>
        <v>0</v>
      </c>
    </row>
    <row r="27" spans="1:12" ht="18.75" x14ac:dyDescent="0.3">
      <c r="A27" s="43"/>
      <c r="B27" s="19"/>
      <c r="C27" s="19"/>
      <c r="D27" s="98" t="str">
        <f>IFERROR(IF(Densitet!R14&gt;0,"Størrelse af tap ventil skal være faldende !!!!!!",""),"")</f>
        <v/>
      </c>
      <c r="E27" s="98"/>
      <c r="F27" s="98"/>
      <c r="G27" s="98"/>
      <c r="H27" s="98"/>
      <c r="I27" s="19"/>
      <c r="J27" s="58"/>
      <c r="K27" s="19"/>
      <c r="L27" s="63"/>
    </row>
    <row r="28" spans="1:12" x14ac:dyDescent="0.25">
      <c r="A28" s="43" t="s">
        <v>129</v>
      </c>
      <c r="B28" s="19"/>
      <c r="C28" s="19"/>
      <c r="D28" s="57" t="s">
        <v>124</v>
      </c>
      <c r="E28" s="57" t="s">
        <v>125</v>
      </c>
      <c r="F28" s="57" t="s">
        <v>126</v>
      </c>
      <c r="G28" s="57" t="s">
        <v>127</v>
      </c>
      <c r="H28" s="57" t="s">
        <v>128</v>
      </c>
      <c r="I28" s="19"/>
      <c r="J28" s="58"/>
      <c r="K28" s="58"/>
      <c r="L28" s="63"/>
    </row>
    <row r="29" spans="1:12" ht="15.75" thickBot="1" x14ac:dyDescent="0.3">
      <c r="A29" s="64" t="s">
        <v>130</v>
      </c>
      <c r="B29" s="24"/>
      <c r="C29" s="24"/>
      <c r="D29" s="45"/>
      <c r="E29" s="45"/>
      <c r="F29" s="45"/>
      <c r="G29" s="45"/>
      <c r="H29" s="45"/>
      <c r="I29" s="24" t="s">
        <v>43</v>
      </c>
      <c r="J29" s="19"/>
      <c r="K29" s="47">
        <f>Tapventiler!C9</f>
        <v>0</v>
      </c>
      <c r="L29" s="65">
        <f>Tapventiler!C9</f>
        <v>0</v>
      </c>
    </row>
    <row r="30" spans="1:12" ht="15.75" thickBot="1" x14ac:dyDescent="0.3">
      <c r="A30" s="16" t="s">
        <v>28</v>
      </c>
      <c r="B30" s="19"/>
      <c r="C30" s="17"/>
      <c r="D30" s="17"/>
      <c r="E30" s="17"/>
      <c r="F30" s="17"/>
      <c r="G30" s="17"/>
      <c r="H30" s="17"/>
      <c r="I30" s="17" t="s">
        <v>21</v>
      </c>
      <c r="J30" s="11"/>
      <c r="K30" s="14">
        <f>J30*2</f>
        <v>0</v>
      </c>
      <c r="L30" s="63">
        <f>J30*2</f>
        <v>0</v>
      </c>
    </row>
    <row r="31" spans="1:12" x14ac:dyDescent="0.25">
      <c r="A31" s="62" t="s">
        <v>31</v>
      </c>
      <c r="B31" s="23"/>
      <c r="C31" s="23"/>
      <c r="D31" s="23"/>
      <c r="E31" s="23"/>
      <c r="F31" s="23"/>
      <c r="G31" s="23"/>
      <c r="H31" s="23"/>
      <c r="I31" s="23" t="s">
        <v>44</v>
      </c>
      <c r="J31" s="12"/>
      <c r="K31" s="23">
        <f>J31*2</f>
        <v>0</v>
      </c>
      <c r="L31" s="60">
        <f>J31*2</f>
        <v>0</v>
      </c>
    </row>
    <row r="32" spans="1:12" ht="15.75" thickBot="1" x14ac:dyDescent="0.3">
      <c r="A32" s="64" t="s">
        <v>29</v>
      </c>
      <c r="B32" s="24"/>
      <c r="C32" s="24"/>
      <c r="D32" s="24"/>
      <c r="E32" s="24"/>
      <c r="F32" s="24"/>
      <c r="G32" s="24"/>
      <c r="H32" s="24"/>
      <c r="I32" s="24" t="s">
        <v>21</v>
      </c>
      <c r="J32" s="13"/>
      <c r="K32" s="24">
        <f>J32*1</f>
        <v>0</v>
      </c>
      <c r="L32" s="66">
        <f>J32*1</f>
        <v>0</v>
      </c>
    </row>
    <row r="33" spans="1:12" ht="15.75" thickBot="1" x14ac:dyDescent="0.3">
      <c r="A33" s="43" t="s">
        <v>140</v>
      </c>
      <c r="B33" s="24"/>
      <c r="C33" s="19"/>
      <c r="D33" s="19"/>
      <c r="E33" s="19"/>
      <c r="F33" s="19"/>
      <c r="G33" s="19"/>
      <c r="H33" s="19"/>
      <c r="I33" s="54" t="s">
        <v>147</v>
      </c>
      <c r="J33" s="53"/>
      <c r="K33" s="19">
        <f>J33</f>
        <v>0</v>
      </c>
      <c r="L33" s="63">
        <f>J33</f>
        <v>0</v>
      </c>
    </row>
    <row r="34" spans="1:12" ht="15.75" thickBot="1" x14ac:dyDescent="0.3">
      <c r="A34" s="62" t="s">
        <v>131</v>
      </c>
      <c r="B34" s="17"/>
      <c r="C34" s="23"/>
      <c r="D34" s="23"/>
      <c r="E34" s="23"/>
      <c r="F34" s="23"/>
      <c r="G34" s="23"/>
      <c r="H34" s="23"/>
      <c r="I34" s="99"/>
      <c r="J34" s="99"/>
      <c r="K34" s="25" t="str">
        <f>IFERROR(VLOOKUP(I34,Densitet!E:I,4,FALSE),"")</f>
        <v/>
      </c>
      <c r="L34" s="67" t="str">
        <f>IFERROR(VLOOKUP(I34,Densitet!E:I,5,FALSE),"")</f>
        <v/>
      </c>
    </row>
    <row r="35" spans="1:12" ht="16.5" thickTop="1" thickBot="1" x14ac:dyDescent="0.3">
      <c r="A35" s="68" t="s">
        <v>32</v>
      </c>
      <c r="B35" s="28"/>
      <c r="C35" s="29"/>
      <c r="D35" s="29"/>
      <c r="E35" s="29"/>
      <c r="F35" s="29"/>
      <c r="G35" s="29"/>
      <c r="H35" s="29"/>
      <c r="I35" s="30"/>
      <c r="J35" s="31"/>
      <c r="K35" s="32" t="str">
        <f>IFERROR(MROUND(Dimensionering!J5,1),"")</f>
        <v/>
      </c>
      <c r="L35" s="69" t="str">
        <f>IFERROR(MROUND(Dimensionering!J11,1),"")</f>
        <v/>
      </c>
    </row>
    <row r="36" spans="1:12" ht="16.5" thickTop="1" thickBot="1" x14ac:dyDescent="0.3">
      <c r="A36" s="68" t="s">
        <v>33</v>
      </c>
      <c r="B36" s="33"/>
      <c r="C36" s="29"/>
      <c r="D36" s="29"/>
      <c r="E36" s="29"/>
      <c r="F36" s="29"/>
      <c r="G36" s="29"/>
      <c r="H36" s="29"/>
      <c r="I36" s="30"/>
      <c r="J36" s="34"/>
      <c r="K36" s="32" t="str">
        <f>IFERROR(MROUND(Dimensionering!I5,1),"")</f>
        <v/>
      </c>
      <c r="L36" s="69" t="str">
        <f>IFERROR(MROUND(Dimensionering!I11,1),"")</f>
        <v/>
      </c>
    </row>
    <row r="37" spans="1:12" ht="16.5" thickTop="1" thickBot="1" x14ac:dyDescent="0.3">
      <c r="A37" s="70" t="s">
        <v>25</v>
      </c>
      <c r="B37" s="34"/>
      <c r="C37" s="29"/>
      <c r="D37" s="29"/>
      <c r="E37" s="29"/>
      <c r="F37" s="29"/>
      <c r="G37" s="29"/>
      <c r="H37" s="29"/>
      <c r="I37" s="30"/>
      <c r="J37" s="34"/>
      <c r="K37" s="35" t="str">
        <f>IFERROR(K26*K34,"")</f>
        <v/>
      </c>
      <c r="L37" s="71" t="str">
        <f>IFERROR(L26*L34,"")</f>
        <v/>
      </c>
    </row>
    <row r="38" spans="1:12" ht="16.5" thickTop="1" thickBot="1" x14ac:dyDescent="0.3">
      <c r="A38" s="62" t="s">
        <v>27</v>
      </c>
      <c r="B38" s="23"/>
      <c r="C38" s="23"/>
      <c r="D38" s="23"/>
      <c r="E38" s="23"/>
      <c r="F38" s="23"/>
      <c r="G38" s="23"/>
      <c r="H38" s="23"/>
      <c r="I38" s="23"/>
      <c r="J38" s="50" t="s">
        <v>6</v>
      </c>
      <c r="K38" s="52"/>
      <c r="L38" s="52"/>
    </row>
    <row r="39" spans="1:12" ht="15.75" thickBot="1" x14ac:dyDescent="0.3">
      <c r="A39" s="16" t="s">
        <v>138</v>
      </c>
      <c r="B39" s="17"/>
      <c r="C39" s="17"/>
      <c r="D39" s="17"/>
      <c r="E39" s="17"/>
      <c r="F39" s="17"/>
      <c r="G39" s="17"/>
      <c r="H39" s="17"/>
      <c r="I39" s="72" t="s">
        <v>139</v>
      </c>
      <c r="J39" s="17" t="s">
        <v>132</v>
      </c>
      <c r="K39" s="92">
        <f>IF(AND(ISBLANK(J30),ISBLANK(J31)),600,IF(ISNUMBER(J30),5000,IF(ISNUMBER(J31),2500)))</f>
        <v>600</v>
      </c>
      <c r="L39" s="93"/>
    </row>
    <row r="41" spans="1:12" x14ac:dyDescent="0.25">
      <c r="A41" s="15" t="s">
        <v>168</v>
      </c>
    </row>
    <row r="42" spans="1:12" x14ac:dyDescent="0.25">
      <c r="A42" s="15" t="s">
        <v>30</v>
      </c>
    </row>
    <row r="43" spans="1:12" x14ac:dyDescent="0.25">
      <c r="A43" s="15" t="s">
        <v>169</v>
      </c>
    </row>
  </sheetData>
  <sheetProtection algorithmName="SHA-512" hashValue="XNhRclNqBnBIlXmUNvakHECnYRTwvAXQO0/yUMdWnk5tRVen39XVsVyG4OiHNSCzVBgmBPJZ+D9HOi80xVZR8Q==" saltValue="D/BlQB7erL1sOb0jbjfDng==" spinCount="100000" sheet="1" selectLockedCells="1"/>
  <mergeCells count="8">
    <mergeCell ref="A23:J23"/>
    <mergeCell ref="A24:J24"/>
    <mergeCell ref="A2:K2"/>
    <mergeCell ref="K39:L39"/>
    <mergeCell ref="K21:L21"/>
    <mergeCell ref="C21:E21"/>
    <mergeCell ref="D27:H27"/>
    <mergeCell ref="I34:J34"/>
  </mergeCells>
  <dataValidations count="1">
    <dataValidation type="whole" allowBlank="1" showInputMessage="1" showErrorMessage="1" error="Indtast 0 eller 1" sqref="J31" xr:uid="{00000000-0002-0000-0000-000000000000}">
      <formula1>0</formula1>
      <formula2>1</formula2>
    </dataValidation>
  </dataValidations>
  <pageMargins left="0.7" right="0.7" top="0.75" bottom="0.75" header="0.3" footer="0.3"/>
  <pageSetup paperSize="9" scale="77" orientation="landscape" r:id="rId1"/>
  <ignoredErrors>
    <ignoredError sqref="H13:H14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2000B34-C813-4588-8931-88AAF4917B91}">
            <xm:f>Densitet!$R$14&gt;0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</x14:dxf>
          </x14:cfRule>
          <xm:sqref>D27:H27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Densitet!$E$3:$E$42</xm:f>
          </x14:formula1>
          <xm:sqref>I34</xm:sqref>
        </x14:dataValidation>
        <x14:dataValidation type="list" allowBlank="1" showInputMessage="1" showErrorMessage="1" xr:uid="{00000000-0002-0000-0000-000002000000}">
          <x14:formula1>
            <xm:f>Densitet!$M$3:$M$5</xm:f>
          </x14:formula1>
          <xm:sqref>D29:H29</xm:sqref>
        </x14:dataValidation>
        <x14:dataValidation type="list" allowBlank="1" showInputMessage="1" showErrorMessage="1" xr:uid="{820B578C-6369-4654-8D88-7C5D5F3A3A15}">
          <x14:formula1>
            <xm:f>Densitet!$M$19:$M$22</xm:f>
          </x14:formula1>
          <xm:sqref>G13</xm:sqref>
        </x14:dataValidation>
        <x14:dataValidation type="list" allowBlank="1" showInputMessage="1" showErrorMessage="1" xr:uid="{F2554CA0-EFAE-4542-BD56-F75B154EDBFE}">
          <x14:formula1>
            <xm:f>Densitet!$M$24:$M$28</xm:f>
          </x14:formula1>
          <xm:sqref>G14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1"/>
  <sheetViews>
    <sheetView showGridLines="0" workbookViewId="0">
      <selection activeCell="K35" sqref="K35"/>
    </sheetView>
  </sheetViews>
  <sheetFormatPr defaultRowHeight="15" x14ac:dyDescent="0.25"/>
  <sheetData>
    <row r="2" spans="1:13" x14ac:dyDescent="0.25">
      <c r="A2" t="s">
        <v>22</v>
      </c>
      <c r="M2" t="s">
        <v>23</v>
      </c>
    </row>
    <row r="21" spans="1:1" x14ac:dyDescent="0.25">
      <c r="A21" t="s">
        <v>24</v>
      </c>
    </row>
  </sheetData>
  <sheetProtection algorithmName="SHA-512" hashValue="OhEFwEXx4kBN7ggW68w1wFFmdSa3FXPkSbvPP9glJJvANVntnPydK3ZVaUBumY70zeSv+g/SQVSBx2U1xLtB9w==" saltValue="eleoYWDAwO/EGnr0JxO4kg==" spinCount="100000" sheet="1" objects="1" scenarios="1" selectLockedCells="1" selectUnlockedCells="1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sqref="A1:XFD1048576"/>
    </sheetView>
  </sheetViews>
  <sheetFormatPr defaultRowHeight="15" x14ac:dyDescent="0.25"/>
  <cols>
    <col min="1" max="1" width="11.28515625" bestFit="1" customWidth="1"/>
    <col min="2" max="2" width="14.28515625" bestFit="1" customWidth="1"/>
  </cols>
  <sheetData>
    <row r="1" spans="1:3" s="10" customFormat="1" x14ac:dyDescent="0.25">
      <c r="A1" s="10" t="s">
        <v>115</v>
      </c>
    </row>
    <row r="2" spans="1:3" s="10" customFormat="1" x14ac:dyDescent="0.25"/>
    <row r="3" spans="1:3" x14ac:dyDescent="0.25">
      <c r="B3" t="s">
        <v>109</v>
      </c>
      <c r="C3" t="s">
        <v>110</v>
      </c>
    </row>
    <row r="4" spans="1:3" x14ac:dyDescent="0.25">
      <c r="A4" t="s">
        <v>104</v>
      </c>
      <c r="B4" s="44">
        <f>Forudsætninger!D29</f>
        <v>0</v>
      </c>
      <c r="C4" t="str">
        <f>IFERROR(VLOOKUP(A4,Densitet!$O$4:$R$8,IF(Tapventiler!B4=Densitet!M$3,2,IF(Tapventiler!B4=Densitet!M$4,3,IF(Tapventiler!B4=Densitet!M$5,4,""))),FALSE),"")</f>
        <v/>
      </c>
    </row>
    <row r="5" spans="1:3" x14ac:dyDescent="0.25">
      <c r="A5" s="10" t="s">
        <v>105</v>
      </c>
      <c r="B5" s="44">
        <f>Forudsætninger!E29</f>
        <v>0</v>
      </c>
      <c r="C5" s="10">
        <f>IFERROR(VLOOKUP(A5,Densitet!$O$4:$R$8,IF(Tapventiler!B5=Densitet!M$3,2,IF(Tapventiler!B5=Densitet!M$4,3,IF(Tapventiler!B5=Densitet!M$5,4,""))),FALSE),0)</f>
        <v>0</v>
      </c>
    </row>
    <row r="6" spans="1:3" x14ac:dyDescent="0.25">
      <c r="A6" s="10" t="s">
        <v>106</v>
      </c>
      <c r="B6" s="44">
        <f>Forudsætninger!F29</f>
        <v>0</v>
      </c>
      <c r="C6" s="10">
        <f>IFERROR(VLOOKUP(A6,Densitet!$O$4:$R$8,IF(Tapventiler!B6=Densitet!M$3,2,IF(Tapventiler!B6=Densitet!M$4,3,IF(Tapventiler!B6=Densitet!M$5,4,""))),FALSE),0)</f>
        <v>0</v>
      </c>
    </row>
    <row r="7" spans="1:3" x14ac:dyDescent="0.25">
      <c r="A7" s="10" t="s">
        <v>107</v>
      </c>
      <c r="B7" s="44">
        <f>Forudsætninger!G29</f>
        <v>0</v>
      </c>
      <c r="C7" s="10">
        <f>IFERROR(VLOOKUP(A7,Densitet!$O$4:$R$8,IF(Tapventiler!B7=Densitet!M$3,2,IF(Tapventiler!B7=Densitet!M$4,3,IF(Tapventiler!B7=Densitet!M$5,4,""))),FALSE),0)</f>
        <v>0</v>
      </c>
    </row>
    <row r="8" spans="1:3" x14ac:dyDescent="0.25">
      <c r="A8" s="10" t="s">
        <v>108</v>
      </c>
      <c r="B8" s="44">
        <f>Forudsætninger!H29</f>
        <v>0</v>
      </c>
      <c r="C8" s="10">
        <f>IFERROR(VLOOKUP(A8,Densitet!$O$4:$R$8,IF(Tapventiler!B8=Densitet!M$3,2,IF(Tapventiler!B8=Densitet!M$4,3,IF(Tapventiler!B8=Densitet!M$5,4,""))),FALSE),0)</f>
        <v>0</v>
      </c>
    </row>
    <row r="9" spans="1:3" x14ac:dyDescent="0.25">
      <c r="A9" t="s">
        <v>111</v>
      </c>
      <c r="C9">
        <f>SUM(C4:C8)</f>
        <v>0</v>
      </c>
    </row>
  </sheetData>
  <sheetProtection algorithmName="SHA-512" hashValue="deCg0Mpq771VhE14r0/5g34SpK/L3w+qLNI1mC6bnzp1aksCgHfQyX+vdxFIfrmIYbqLqqJtudSoklvcgRm07w==" saltValue="DHEcSLyqbWO8p3lYGKU/nQ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"/>
  <sheetViews>
    <sheetView showGridLines="0" workbookViewId="0">
      <selection sqref="A1:XFD1048576"/>
    </sheetView>
  </sheetViews>
  <sheetFormatPr defaultRowHeight="15" x14ac:dyDescent="0.25"/>
  <cols>
    <col min="1" max="1" width="9.5703125" bestFit="1" customWidth="1"/>
    <col min="2" max="2" width="13.140625" bestFit="1" customWidth="1"/>
    <col min="3" max="3" width="11.42578125" bestFit="1" customWidth="1"/>
    <col min="4" max="4" width="10.5703125" bestFit="1" customWidth="1"/>
    <col min="5" max="5" width="14.5703125" bestFit="1" customWidth="1"/>
    <col min="6" max="7" width="14.5703125" style="10" customWidth="1"/>
    <col min="8" max="8" width="8.5703125" bestFit="1" customWidth="1"/>
    <col min="9" max="9" width="13.7109375" style="10" bestFit="1" customWidth="1"/>
    <col min="10" max="10" width="20.140625" bestFit="1" customWidth="1"/>
  </cols>
  <sheetData>
    <row r="1" spans="1:10" ht="15.75" thickBot="1" x14ac:dyDescent="0.3"/>
    <row r="2" spans="1:10" ht="16.5" thickTop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141</v>
      </c>
      <c r="G2" s="2" t="s">
        <v>35</v>
      </c>
      <c r="H2" s="2" t="s">
        <v>5</v>
      </c>
      <c r="I2" s="36" t="s">
        <v>6</v>
      </c>
      <c r="J2" s="3" t="s">
        <v>6</v>
      </c>
    </row>
    <row r="3" spans="1:10" ht="16.5" thickBot="1" x14ac:dyDescent="0.3">
      <c r="A3" s="4" t="s">
        <v>7</v>
      </c>
      <c r="B3" s="5" t="s">
        <v>8</v>
      </c>
      <c r="C3" s="5"/>
      <c r="D3" s="5" t="s">
        <v>9</v>
      </c>
      <c r="E3" s="5"/>
      <c r="F3" s="5" t="s">
        <v>142</v>
      </c>
      <c r="G3" s="5" t="s">
        <v>36</v>
      </c>
      <c r="H3" s="5" t="s">
        <v>10</v>
      </c>
      <c r="I3" s="37" t="s">
        <v>37</v>
      </c>
      <c r="J3" s="6" t="s">
        <v>38</v>
      </c>
    </row>
    <row r="4" spans="1:10" ht="16.5" thickBot="1" x14ac:dyDescent="0.3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38">
        <v>9</v>
      </c>
      <c r="J4" s="9">
        <v>10</v>
      </c>
    </row>
    <row r="5" spans="1:10" ht="15" customHeight="1" x14ac:dyDescent="0.25">
      <c r="A5" s="104">
        <f>Forudsætninger!K26</f>
        <v>0</v>
      </c>
      <c r="B5" s="100">
        <v>2</v>
      </c>
      <c r="C5" s="100">
        <f>Forudsætninger!K29</f>
        <v>0</v>
      </c>
      <c r="D5" s="100">
        <f>Forudsætninger!K30</f>
        <v>0</v>
      </c>
      <c r="E5" s="100">
        <f>Forudsætninger!K31+Forudsætninger!K32</f>
        <v>0</v>
      </c>
      <c r="F5" s="48"/>
      <c r="G5" s="100">
        <f>C5+D5+E5+F6</f>
        <v>0</v>
      </c>
      <c r="H5" s="100" t="str">
        <f>Forudsætninger!K34</f>
        <v/>
      </c>
      <c r="I5" s="100" t="e">
        <f>(G5+A5)*H5</f>
        <v>#VALUE!</v>
      </c>
      <c r="J5" s="102" t="e">
        <f>((G5*B5)+A5)*H5</f>
        <v>#VALUE!</v>
      </c>
    </row>
    <row r="6" spans="1:10" ht="15.75" customHeight="1" thickBot="1" x14ac:dyDescent="0.3">
      <c r="A6" s="105"/>
      <c r="B6" s="101"/>
      <c r="C6" s="101"/>
      <c r="D6" s="101"/>
      <c r="E6" s="101"/>
      <c r="F6" s="49">
        <f>Forudsætninger!K33</f>
        <v>0</v>
      </c>
      <c r="G6" s="101"/>
      <c r="H6" s="101"/>
      <c r="I6" s="101"/>
      <c r="J6" s="103"/>
    </row>
    <row r="7" spans="1:10" ht="16.5" customHeight="1" thickTop="1" thickBot="1" x14ac:dyDescent="0.3"/>
    <row r="8" spans="1:10" ht="16.5" thickTop="1" x14ac:dyDescent="0.2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141</v>
      </c>
      <c r="G8" s="2" t="s">
        <v>39</v>
      </c>
      <c r="H8" s="2" t="s">
        <v>5</v>
      </c>
      <c r="I8" s="36" t="s">
        <v>6</v>
      </c>
      <c r="J8" s="3" t="s">
        <v>6</v>
      </c>
    </row>
    <row r="9" spans="1:10" ht="16.5" thickBot="1" x14ac:dyDescent="0.3">
      <c r="A9" s="4" t="s">
        <v>7</v>
      </c>
      <c r="B9" s="5" t="s">
        <v>8</v>
      </c>
      <c r="C9" s="5"/>
      <c r="D9" s="5" t="s">
        <v>9</v>
      </c>
      <c r="E9" s="5"/>
      <c r="F9" s="5" t="s">
        <v>142</v>
      </c>
      <c r="G9" s="5" t="s">
        <v>36</v>
      </c>
      <c r="H9" s="5" t="s">
        <v>10</v>
      </c>
      <c r="I9" s="37" t="s">
        <v>37</v>
      </c>
      <c r="J9" s="6" t="s">
        <v>38</v>
      </c>
    </row>
    <row r="10" spans="1:10" ht="16.5" thickBot="1" x14ac:dyDescent="0.3">
      <c r="A10" s="7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38">
        <v>9</v>
      </c>
      <c r="J10" s="9">
        <v>10</v>
      </c>
    </row>
    <row r="11" spans="1:10" ht="15.75" customHeight="1" x14ac:dyDescent="0.25">
      <c r="A11" s="104">
        <f>Forudsætninger!L26</f>
        <v>0</v>
      </c>
      <c r="B11" s="100">
        <v>2</v>
      </c>
      <c r="C11" s="100">
        <f>Forudsætninger!L29</f>
        <v>0</v>
      </c>
      <c r="D11" s="100">
        <f>Forudsætninger!L30</f>
        <v>0</v>
      </c>
      <c r="E11" s="100">
        <f>Forudsætninger!L31+Forudsætninger!L32</f>
        <v>0</v>
      </c>
      <c r="F11" s="48"/>
      <c r="G11" s="100">
        <f>C11+D11+E11+F12</f>
        <v>0</v>
      </c>
      <c r="H11" s="100" t="str">
        <f>Forudsætninger!L34</f>
        <v/>
      </c>
      <c r="I11" s="100" t="e">
        <f>(G11+A11)*H11</f>
        <v>#VALUE!</v>
      </c>
      <c r="J11" s="102" t="e">
        <f>((G11*B11)+A11)*H11</f>
        <v>#VALUE!</v>
      </c>
    </row>
    <row r="12" spans="1:10" ht="15.75" customHeight="1" thickBot="1" x14ac:dyDescent="0.3">
      <c r="A12" s="105"/>
      <c r="B12" s="101"/>
      <c r="C12" s="101"/>
      <c r="D12" s="101"/>
      <c r="E12" s="101"/>
      <c r="F12" s="49">
        <f>Forudsætninger!L33</f>
        <v>0</v>
      </c>
      <c r="G12" s="101"/>
      <c r="H12" s="101"/>
      <c r="I12" s="101"/>
      <c r="J12" s="103"/>
    </row>
    <row r="13" spans="1:10" ht="15.75" thickTop="1" x14ac:dyDescent="0.25"/>
  </sheetData>
  <sheetProtection algorithmName="SHA-512" hashValue="99TToXKSVbtKz+ZrCXcUCbpj6Uf8/R7qZWurhIq1PlFxQ9E6ZxisxL8ahQZgZoeO9TKAfkP0WjbW+0ec5LyJzA==" saltValue="E3ZiGJNyBoPXZzr0PpbkuA==" spinCount="100000" sheet="1" objects="1" scenarios="1" selectLockedCells="1" selectUnlockedCells="1"/>
  <mergeCells count="18">
    <mergeCell ref="H11:H12"/>
    <mergeCell ref="J11:J12"/>
    <mergeCell ref="A11:A12"/>
    <mergeCell ref="B11:B12"/>
    <mergeCell ref="C11:C12"/>
    <mergeCell ref="D11:D12"/>
    <mergeCell ref="E11:E12"/>
    <mergeCell ref="G11:G12"/>
    <mergeCell ref="I11:I12"/>
    <mergeCell ref="H5:H6"/>
    <mergeCell ref="J5:J6"/>
    <mergeCell ref="A5:A6"/>
    <mergeCell ref="B5:B6"/>
    <mergeCell ref="C5:C6"/>
    <mergeCell ref="D5:D6"/>
    <mergeCell ref="E5:E6"/>
    <mergeCell ref="G5:G6"/>
    <mergeCell ref="I5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2"/>
  <sheetViews>
    <sheetView workbookViewId="0">
      <selection sqref="A1:XFD1048576"/>
    </sheetView>
  </sheetViews>
  <sheetFormatPr defaultRowHeight="15" x14ac:dyDescent="0.25"/>
  <cols>
    <col min="1" max="1" width="22.5703125" bestFit="1" customWidth="1"/>
    <col min="2" max="3" width="11.42578125" bestFit="1" customWidth="1"/>
    <col min="4" max="4" width="11.28515625" bestFit="1" customWidth="1"/>
    <col min="13" max="13" width="16.5703125" customWidth="1"/>
  </cols>
  <sheetData>
    <row r="1" spans="1:18" x14ac:dyDescent="0.25">
      <c r="A1" s="106" t="s">
        <v>45</v>
      </c>
      <c r="B1" s="106"/>
      <c r="C1" s="106"/>
      <c r="D1" s="106"/>
      <c r="M1" t="s">
        <v>2</v>
      </c>
    </row>
    <row r="2" spans="1:18" x14ac:dyDescent="0.25">
      <c r="A2" s="42" t="s">
        <v>46</v>
      </c>
      <c r="B2" s="42" t="s">
        <v>47</v>
      </c>
      <c r="C2" s="42" t="s">
        <v>49</v>
      </c>
      <c r="D2" s="42" t="s">
        <v>48</v>
      </c>
    </row>
    <row r="3" spans="1:18" x14ac:dyDescent="0.25">
      <c r="A3" t="s">
        <v>50</v>
      </c>
      <c r="B3" s="41" t="s">
        <v>51</v>
      </c>
      <c r="C3">
        <v>1</v>
      </c>
      <c r="D3">
        <v>1</v>
      </c>
      <c r="E3" t="str">
        <f>CONCATENATE(A3," - ",B3)</f>
        <v>Benzin, blandinger - 770-790</v>
      </c>
      <c r="H3" s="10">
        <v>1</v>
      </c>
      <c r="I3" s="10">
        <v>1</v>
      </c>
      <c r="M3" t="s">
        <v>121</v>
      </c>
      <c r="N3">
        <v>1</v>
      </c>
      <c r="P3" s="10" t="s">
        <v>112</v>
      </c>
      <c r="Q3" s="10" t="s">
        <v>113</v>
      </c>
      <c r="R3" s="10" t="s">
        <v>114</v>
      </c>
    </row>
    <row r="4" spans="1:18" x14ac:dyDescent="0.25">
      <c r="A4" t="s">
        <v>52</v>
      </c>
      <c r="B4" s="41" t="s">
        <v>53</v>
      </c>
      <c r="C4">
        <v>1</v>
      </c>
      <c r="D4">
        <v>1</v>
      </c>
      <c r="E4" s="10" t="str">
        <f>CONCATENATE(A4," - ",B4)</f>
        <v>Benzin, svær - 700-750</v>
      </c>
      <c r="H4" s="10">
        <v>1</v>
      </c>
      <c r="I4" s="10">
        <v>1</v>
      </c>
      <c r="M4" t="s">
        <v>122</v>
      </c>
      <c r="N4">
        <v>2</v>
      </c>
      <c r="O4" s="10" t="s">
        <v>116</v>
      </c>
      <c r="P4">
        <v>0.5</v>
      </c>
      <c r="Q4">
        <v>1</v>
      </c>
      <c r="R4">
        <v>1.7</v>
      </c>
    </row>
    <row r="5" spans="1:18" x14ac:dyDescent="0.25">
      <c r="A5" t="s">
        <v>54</v>
      </c>
      <c r="B5" s="41">
        <v>820</v>
      </c>
      <c r="C5">
        <v>1</v>
      </c>
      <c r="D5">
        <v>1</v>
      </c>
      <c r="E5" s="10" t="str">
        <f>CONCATENATE(A5," - ",B5)</f>
        <v>Benzin, traktorer - 820</v>
      </c>
      <c r="H5" s="10">
        <v>1</v>
      </c>
      <c r="I5" s="10">
        <v>1</v>
      </c>
      <c r="M5" t="s">
        <v>123</v>
      </c>
      <c r="N5">
        <v>3</v>
      </c>
      <c r="O5" s="10" t="s">
        <v>117</v>
      </c>
      <c r="P5" s="10">
        <v>0.5</v>
      </c>
      <c r="Q5">
        <v>1</v>
      </c>
      <c r="R5">
        <v>1.7</v>
      </c>
    </row>
    <row r="6" spans="1:18" x14ac:dyDescent="0.25">
      <c r="A6" t="s">
        <v>55</v>
      </c>
      <c r="B6" s="41">
        <v>870</v>
      </c>
      <c r="C6">
        <v>2</v>
      </c>
      <c r="E6" s="10" t="str">
        <f>CONCATENATE(A6," - ",B6)</f>
        <v>Brændselsolie, let - 870</v>
      </c>
      <c r="H6" s="10">
        <v>2</v>
      </c>
      <c r="I6" s="10"/>
      <c r="O6" s="10" t="s">
        <v>118</v>
      </c>
      <c r="P6">
        <v>0.35</v>
      </c>
      <c r="Q6">
        <v>0.7</v>
      </c>
      <c r="R6">
        <v>1.2</v>
      </c>
    </row>
    <row r="7" spans="1:18" x14ac:dyDescent="0.25">
      <c r="A7" s="10" t="s">
        <v>56</v>
      </c>
      <c r="B7" s="41">
        <v>920</v>
      </c>
      <c r="C7">
        <v>3</v>
      </c>
      <c r="D7">
        <v>2</v>
      </c>
      <c r="E7" s="10" t="str">
        <f t="shared" ref="E7:E42" si="0">CONCATENATE(A7," - ",B7)</f>
        <v>Brændselsolie, medium - 920</v>
      </c>
      <c r="H7" s="10">
        <v>3</v>
      </c>
      <c r="I7" s="10">
        <v>2</v>
      </c>
      <c r="O7" s="10" t="s">
        <v>119</v>
      </c>
      <c r="P7">
        <v>0.25</v>
      </c>
      <c r="Q7">
        <v>0.5</v>
      </c>
      <c r="R7">
        <v>0.85</v>
      </c>
    </row>
    <row r="8" spans="1:18" x14ac:dyDescent="0.25">
      <c r="A8" s="10" t="s">
        <v>57</v>
      </c>
      <c r="B8" s="41" t="s">
        <v>58</v>
      </c>
      <c r="C8">
        <v>3</v>
      </c>
      <c r="D8">
        <v>2</v>
      </c>
      <c r="E8" s="10" t="str">
        <f t="shared" si="0"/>
        <v>Brændselsolie, svær - 940-990</v>
      </c>
      <c r="H8" s="10">
        <v>3</v>
      </c>
      <c r="I8" s="10">
        <v>2</v>
      </c>
      <c r="O8" s="10" t="s">
        <v>120</v>
      </c>
      <c r="P8">
        <v>0.1</v>
      </c>
      <c r="Q8">
        <v>0.2</v>
      </c>
      <c r="R8">
        <v>0.3</v>
      </c>
    </row>
    <row r="9" spans="1:18" x14ac:dyDescent="0.25">
      <c r="A9" t="s">
        <v>59</v>
      </c>
      <c r="B9" s="41" t="s">
        <v>60</v>
      </c>
      <c r="C9">
        <v>1</v>
      </c>
      <c r="D9">
        <v>1</v>
      </c>
      <c r="E9" s="10" t="str">
        <f t="shared" si="0"/>
        <v>Butylalkohol - 814-817</v>
      </c>
      <c r="H9" s="10">
        <v>1</v>
      </c>
      <c r="I9" s="10">
        <v>1</v>
      </c>
    </row>
    <row r="10" spans="1:18" ht="15.75" thickBot="1" x14ac:dyDescent="0.3">
      <c r="A10" t="s">
        <v>61</v>
      </c>
      <c r="B10" s="41">
        <v>880</v>
      </c>
      <c r="C10">
        <v>2</v>
      </c>
      <c r="D10">
        <v>1.5</v>
      </c>
      <c r="E10" s="10" t="str">
        <f t="shared" si="0"/>
        <v>Butylacatat - 880</v>
      </c>
      <c r="H10" s="10">
        <v>2</v>
      </c>
      <c r="I10" s="10">
        <v>1.5</v>
      </c>
    </row>
    <row r="11" spans="1:18" x14ac:dyDescent="0.25">
      <c r="A11" t="s">
        <v>62</v>
      </c>
      <c r="B11" s="41">
        <v>949</v>
      </c>
      <c r="C11">
        <v>3</v>
      </c>
      <c r="D11">
        <v>2</v>
      </c>
      <c r="E11" s="10" t="str">
        <f t="shared" si="0"/>
        <v>Cyclohexanol - 949</v>
      </c>
      <c r="H11" s="10">
        <v>3</v>
      </c>
      <c r="I11" s="10">
        <v>2</v>
      </c>
      <c r="M11" s="73" t="s">
        <v>150</v>
      </c>
      <c r="N11" s="74"/>
      <c r="O11" s="74"/>
      <c r="P11" s="74"/>
      <c r="Q11" s="74"/>
      <c r="R11" s="75"/>
    </row>
    <row r="12" spans="1:18" x14ac:dyDescent="0.25">
      <c r="A12" t="s">
        <v>63</v>
      </c>
      <c r="B12" s="41">
        <v>947</v>
      </c>
      <c r="C12">
        <v>3</v>
      </c>
      <c r="D12">
        <v>2</v>
      </c>
      <c r="E12" s="10" t="str">
        <f t="shared" si="0"/>
        <v>Cyclohexanon - 947</v>
      </c>
      <c r="H12" s="10">
        <v>3</v>
      </c>
      <c r="I12" s="10">
        <v>2</v>
      </c>
      <c r="M12" s="76" t="s">
        <v>151</v>
      </c>
      <c r="N12" s="77" t="s">
        <v>152</v>
      </c>
      <c r="O12" s="77" t="s">
        <v>153</v>
      </c>
      <c r="P12" s="77" t="s">
        <v>154</v>
      </c>
      <c r="Q12" s="77" t="s">
        <v>155</v>
      </c>
      <c r="R12" s="78" t="s">
        <v>156</v>
      </c>
    </row>
    <row r="13" spans="1:18" x14ac:dyDescent="0.25">
      <c r="A13" t="s">
        <v>64</v>
      </c>
      <c r="B13" s="41" t="s">
        <v>65</v>
      </c>
      <c r="C13">
        <v>2</v>
      </c>
      <c r="D13">
        <v>1.5</v>
      </c>
      <c r="E13" s="10" t="str">
        <f t="shared" si="0"/>
        <v>Dekahydro (naftalin) - 887-890</v>
      </c>
      <c r="H13" s="10">
        <v>2</v>
      </c>
      <c r="I13" s="10">
        <v>1.5</v>
      </c>
      <c r="M13" s="79">
        <f>IFERROR(VLOOKUP(Forudsætninger!D29,Densitet!$M$3:$N$5,2,FALSE),0)</f>
        <v>0</v>
      </c>
      <c r="N13" s="80">
        <f>IFERROR(VLOOKUP(Forudsætninger!E29,Densitet!$M$3:$N$5,2,FALSE),0)</f>
        <v>0</v>
      </c>
      <c r="O13" s="80">
        <f>IFERROR(VLOOKUP(Forudsætninger!F29,Densitet!$M$3:$N$5,2,FALSE),0)</f>
        <v>0</v>
      </c>
      <c r="P13" s="80">
        <f>IFERROR(VLOOKUP(Forudsætninger!G29,Densitet!$M$3:$N$5,2,FALSE),0)</f>
        <v>0</v>
      </c>
      <c r="Q13" s="80">
        <f>IFERROR(VLOOKUP(Forudsætninger!H29,Densitet!$M$3:$N$5,2,FALSE),0)</f>
        <v>0</v>
      </c>
      <c r="R13" s="81"/>
    </row>
    <row r="14" spans="1:18" ht="15.75" thickBot="1" x14ac:dyDescent="0.3">
      <c r="A14" t="s">
        <v>66</v>
      </c>
      <c r="B14" s="41" t="s">
        <v>67</v>
      </c>
      <c r="C14">
        <v>2</v>
      </c>
      <c r="D14">
        <v>1.5</v>
      </c>
      <c r="E14" s="10" t="str">
        <f t="shared" si="0"/>
        <v>Dieselbrændstof - 850-860</v>
      </c>
      <c r="H14" s="10">
        <v>2</v>
      </c>
      <c r="I14" s="10">
        <v>1.5</v>
      </c>
      <c r="M14" s="82"/>
      <c r="N14" s="83">
        <f>IF(N13&gt;M13,1,0)</f>
        <v>0</v>
      </c>
      <c r="O14" s="83">
        <f>IF(OR(O13&gt;N13,O13&gt;M13),1,0)</f>
        <v>0</v>
      </c>
      <c r="P14" s="83">
        <f>IF(OR(P13&gt;O13,P13&gt;N13,P13&gt;M13),1,0)</f>
        <v>0</v>
      </c>
      <c r="Q14" s="83">
        <f>IF(OR(Q13&gt;P13,Q13&gt;O13,Q13&gt;N13,Q13&gt;M13),1,0)</f>
        <v>0</v>
      </c>
      <c r="R14" s="84">
        <f>SUM(M14:Q14)</f>
        <v>0</v>
      </c>
    </row>
    <row r="15" spans="1:18" x14ac:dyDescent="0.25">
      <c r="A15" t="s">
        <v>68</v>
      </c>
      <c r="B15" s="41" t="s">
        <v>69</v>
      </c>
      <c r="C15">
        <v>1</v>
      </c>
      <c r="D15">
        <v>1</v>
      </c>
      <c r="E15" s="10" t="str">
        <f t="shared" si="0"/>
        <v>Diethyleter - 720-722</v>
      </c>
      <c r="H15" s="10">
        <v>1</v>
      </c>
      <c r="I15" s="10">
        <v>1</v>
      </c>
    </row>
    <row r="16" spans="1:18" x14ac:dyDescent="0.25">
      <c r="A16" t="s">
        <v>70</v>
      </c>
      <c r="B16" s="41" t="s">
        <v>71</v>
      </c>
      <c r="C16">
        <v>2</v>
      </c>
      <c r="E16" s="10" t="str">
        <f t="shared" si="0"/>
        <v>Eddikesyre amylester - 860-870</v>
      </c>
      <c r="H16" s="10">
        <v>2</v>
      </c>
      <c r="I16" s="10"/>
    </row>
    <row r="17" spans="1:14" x14ac:dyDescent="0.25">
      <c r="A17" s="10" t="s">
        <v>72</v>
      </c>
      <c r="B17" s="41">
        <v>907</v>
      </c>
      <c r="C17">
        <v>3</v>
      </c>
      <c r="D17">
        <v>2</v>
      </c>
      <c r="E17" s="10" t="str">
        <f t="shared" si="0"/>
        <v>Eddikesyre ethylester - 907</v>
      </c>
      <c r="H17" s="10">
        <v>3</v>
      </c>
      <c r="I17" s="10">
        <v>2</v>
      </c>
    </row>
    <row r="18" spans="1:14" x14ac:dyDescent="0.25">
      <c r="A18" s="10" t="s">
        <v>73</v>
      </c>
      <c r="B18" s="41">
        <v>941</v>
      </c>
      <c r="C18">
        <v>3</v>
      </c>
      <c r="D18">
        <v>2</v>
      </c>
      <c r="E18" s="10" t="str">
        <f t="shared" si="0"/>
        <v>Eddikesyre metylester - 941</v>
      </c>
      <c r="H18" s="10">
        <v>3</v>
      </c>
      <c r="I18" s="10">
        <v>2</v>
      </c>
    </row>
    <row r="19" spans="1:14" x14ac:dyDescent="0.25">
      <c r="A19" s="10" t="s">
        <v>74</v>
      </c>
      <c r="B19" s="41">
        <v>879</v>
      </c>
      <c r="C19">
        <v>2</v>
      </c>
      <c r="D19">
        <v>1.5</v>
      </c>
      <c r="E19" s="10" t="str">
        <f t="shared" si="0"/>
        <v>Eddikesyre n-butylester - 879</v>
      </c>
      <c r="H19" s="10">
        <v>2</v>
      </c>
      <c r="I19" s="10">
        <v>1.5</v>
      </c>
      <c r="M19" t="s">
        <v>160</v>
      </c>
      <c r="N19">
        <v>120</v>
      </c>
    </row>
    <row r="20" spans="1:14" x14ac:dyDescent="0.25">
      <c r="A20" t="s">
        <v>75</v>
      </c>
      <c r="B20" s="41" t="s">
        <v>76</v>
      </c>
      <c r="C20">
        <v>2</v>
      </c>
      <c r="D20">
        <v>1.5</v>
      </c>
      <c r="E20" s="10" t="str">
        <f t="shared" si="0"/>
        <v>Eddikeæter - 870-900</v>
      </c>
      <c r="H20" s="10">
        <v>2</v>
      </c>
      <c r="I20" s="10">
        <v>1.5</v>
      </c>
      <c r="M20" t="s">
        <v>161</v>
      </c>
      <c r="N20">
        <v>150</v>
      </c>
    </row>
    <row r="21" spans="1:14" x14ac:dyDescent="0.25">
      <c r="A21" t="s">
        <v>77</v>
      </c>
      <c r="B21" s="41">
        <v>860</v>
      </c>
      <c r="C21">
        <v>2</v>
      </c>
      <c r="D21">
        <v>1.5</v>
      </c>
      <c r="E21" s="10" t="str">
        <f t="shared" si="0"/>
        <v>Firolie - 860</v>
      </c>
      <c r="H21" s="10">
        <v>2</v>
      </c>
      <c r="I21" s="10">
        <v>1.5</v>
      </c>
      <c r="M21" t="s">
        <v>162</v>
      </c>
      <c r="N21">
        <v>230</v>
      </c>
    </row>
    <row r="22" spans="1:14" x14ac:dyDescent="0.25">
      <c r="A22" t="s">
        <v>78</v>
      </c>
      <c r="B22" s="41" t="s">
        <v>79</v>
      </c>
      <c r="C22">
        <v>2</v>
      </c>
      <c r="D22">
        <v>1.5</v>
      </c>
      <c r="E22" s="10" t="str">
        <f t="shared" si="0"/>
        <v>Gasolie - 880-890</v>
      </c>
      <c r="H22" s="10">
        <v>2</v>
      </c>
      <c r="I22" s="10">
        <v>1.5</v>
      </c>
      <c r="M22" t="s">
        <v>163</v>
      </c>
      <c r="N22">
        <v>380</v>
      </c>
    </row>
    <row r="23" spans="1:14" x14ac:dyDescent="0.25">
      <c r="A23" t="s">
        <v>80</v>
      </c>
      <c r="B23" s="41" t="s">
        <v>71</v>
      </c>
      <c r="C23">
        <v>2</v>
      </c>
      <c r="D23">
        <v>1.5</v>
      </c>
      <c r="E23" s="10" t="str">
        <f t="shared" si="0"/>
        <v>Gul olie - 860-870</v>
      </c>
      <c r="H23" s="10">
        <v>2</v>
      </c>
      <c r="I23" s="10">
        <v>1.5</v>
      </c>
    </row>
    <row r="24" spans="1:14" x14ac:dyDescent="0.25">
      <c r="A24" t="s">
        <v>81</v>
      </c>
      <c r="B24" s="41">
        <v>680</v>
      </c>
      <c r="C24">
        <v>1</v>
      </c>
      <c r="D24">
        <v>1</v>
      </c>
      <c r="E24" s="10" t="str">
        <f t="shared" si="0"/>
        <v>Heptan - 680</v>
      </c>
      <c r="H24" s="10">
        <v>1</v>
      </c>
      <c r="I24" s="10">
        <v>1</v>
      </c>
      <c r="M24" t="s">
        <v>159</v>
      </c>
      <c r="N24">
        <v>1</v>
      </c>
    </row>
    <row r="25" spans="1:14" x14ac:dyDescent="0.25">
      <c r="A25" t="s">
        <v>82</v>
      </c>
      <c r="B25" s="41">
        <v>819</v>
      </c>
      <c r="D25">
        <v>1</v>
      </c>
      <c r="E25" s="10" t="str">
        <f t="shared" si="0"/>
        <v>Isobutylalkohol - 819</v>
      </c>
      <c r="H25" s="10"/>
      <c r="I25" s="10">
        <v>1</v>
      </c>
      <c r="M25" s="10" t="s">
        <v>164</v>
      </c>
      <c r="N25" s="10">
        <v>1.1000000000000001</v>
      </c>
    </row>
    <row r="26" spans="1:14" x14ac:dyDescent="0.25">
      <c r="A26" t="s">
        <v>83</v>
      </c>
      <c r="B26" s="41">
        <v>880</v>
      </c>
      <c r="C26">
        <v>2</v>
      </c>
      <c r="D26">
        <v>1.5</v>
      </c>
      <c r="E26" s="10" t="str">
        <f t="shared" si="0"/>
        <v>Kemisk ren benzen - 880</v>
      </c>
      <c r="H26" s="10">
        <v>2</v>
      </c>
      <c r="I26" s="10">
        <v>1.5</v>
      </c>
      <c r="M26" s="10" t="s">
        <v>165</v>
      </c>
      <c r="N26" s="10">
        <v>1.2</v>
      </c>
    </row>
    <row r="27" spans="1:14" x14ac:dyDescent="0.25">
      <c r="A27" t="s">
        <v>84</v>
      </c>
      <c r="B27" s="41" t="s">
        <v>85</v>
      </c>
      <c r="C27">
        <v>2</v>
      </c>
      <c r="D27">
        <v>1.5</v>
      </c>
      <c r="E27" s="10" t="str">
        <f t="shared" si="0"/>
        <v>Kresolie - 860-880</v>
      </c>
      <c r="H27" s="10">
        <v>2</v>
      </c>
      <c r="I27" s="10">
        <v>1.5</v>
      </c>
      <c r="M27" s="10" t="s">
        <v>166</v>
      </c>
      <c r="N27" s="10">
        <v>1.3</v>
      </c>
    </row>
    <row r="28" spans="1:14" x14ac:dyDescent="0.25">
      <c r="A28" t="s">
        <v>86</v>
      </c>
      <c r="B28" s="41" t="s">
        <v>87</v>
      </c>
      <c r="C28">
        <v>3</v>
      </c>
      <c r="D28">
        <v>2</v>
      </c>
      <c r="E28" s="10" t="str">
        <f t="shared" si="0"/>
        <v>Kultjæreolie - 900-940</v>
      </c>
      <c r="H28" s="10">
        <v>3</v>
      </c>
      <c r="I28" s="10">
        <v>2</v>
      </c>
      <c r="M28" s="10" t="s">
        <v>167</v>
      </c>
      <c r="N28" s="10">
        <v>1.4</v>
      </c>
    </row>
    <row r="29" spans="1:14" x14ac:dyDescent="0.25">
      <c r="A29" t="s">
        <v>88</v>
      </c>
      <c r="B29" s="41">
        <v>890</v>
      </c>
      <c r="C29">
        <v>2</v>
      </c>
      <c r="D29">
        <v>1.5</v>
      </c>
      <c r="E29" s="10" t="str">
        <f t="shared" si="0"/>
        <v>Let olie - 890</v>
      </c>
      <c r="H29" s="10">
        <v>2</v>
      </c>
      <c r="I29" s="10">
        <v>1.5</v>
      </c>
    </row>
    <row r="30" spans="1:14" x14ac:dyDescent="0.25">
      <c r="A30" t="s">
        <v>89</v>
      </c>
      <c r="B30" s="41">
        <v>927</v>
      </c>
      <c r="C30">
        <v>3</v>
      </c>
      <c r="D30">
        <v>2</v>
      </c>
      <c r="E30" s="10" t="str">
        <f t="shared" si="0"/>
        <v>Metylcyclohexanol - 927</v>
      </c>
      <c r="H30" s="10">
        <v>3</v>
      </c>
      <c r="I30" s="10">
        <v>2</v>
      </c>
    </row>
    <row r="31" spans="1:14" x14ac:dyDescent="0.25">
      <c r="A31" t="s">
        <v>90</v>
      </c>
      <c r="B31" s="41">
        <v>918</v>
      </c>
      <c r="C31">
        <v>3</v>
      </c>
      <c r="D31">
        <v>2</v>
      </c>
      <c r="E31" s="10" t="str">
        <f t="shared" si="0"/>
        <v>Myresyre - 918</v>
      </c>
      <c r="H31" s="10">
        <v>3</v>
      </c>
      <c r="I31" s="10">
        <v>2</v>
      </c>
    </row>
    <row r="32" spans="1:14" x14ac:dyDescent="0.25">
      <c r="A32" s="10" t="s">
        <v>91</v>
      </c>
      <c r="B32" s="41" t="s">
        <v>92</v>
      </c>
      <c r="C32">
        <v>3</v>
      </c>
      <c r="D32">
        <v>2</v>
      </c>
      <c r="E32" s="10" t="str">
        <f t="shared" si="0"/>
        <v>Myresyremethylester - 880-940</v>
      </c>
      <c r="H32" s="10">
        <v>3</v>
      </c>
      <c r="I32" s="10">
        <v>2</v>
      </c>
    </row>
    <row r="33" spans="1:9" x14ac:dyDescent="0.25">
      <c r="A33" t="s">
        <v>93</v>
      </c>
      <c r="B33" s="41">
        <v>810</v>
      </c>
      <c r="C33">
        <v>1</v>
      </c>
      <c r="D33">
        <v>1</v>
      </c>
      <c r="E33" s="10" t="str">
        <f t="shared" si="0"/>
        <v>Petroleum - 810</v>
      </c>
      <c r="H33" s="10">
        <v>1</v>
      </c>
      <c r="I33" s="10">
        <v>1</v>
      </c>
    </row>
    <row r="34" spans="1:9" x14ac:dyDescent="0.25">
      <c r="A34" t="s">
        <v>94</v>
      </c>
      <c r="B34" s="41">
        <v>880</v>
      </c>
      <c r="C34">
        <v>2</v>
      </c>
      <c r="D34">
        <v>1.5</v>
      </c>
      <c r="E34" s="10" t="str">
        <f t="shared" si="0"/>
        <v>Propionsyreethylester - 880</v>
      </c>
      <c r="H34" s="10">
        <v>2</v>
      </c>
      <c r="I34" s="10">
        <v>1.5</v>
      </c>
    </row>
    <row r="35" spans="1:9" x14ac:dyDescent="0.25">
      <c r="A35" t="s">
        <v>95</v>
      </c>
      <c r="B35" s="41">
        <v>880</v>
      </c>
      <c r="C35">
        <v>2</v>
      </c>
      <c r="D35">
        <v>1.5</v>
      </c>
      <c r="E35" s="10" t="str">
        <f t="shared" si="0"/>
        <v>Propylbutyrat - 880</v>
      </c>
      <c r="H35" s="10">
        <v>2</v>
      </c>
      <c r="I35" s="10">
        <v>1.5</v>
      </c>
    </row>
    <row r="36" spans="1:9" x14ac:dyDescent="0.25">
      <c r="A36" t="s">
        <v>96</v>
      </c>
      <c r="B36" s="41" t="s">
        <v>97</v>
      </c>
      <c r="C36">
        <v>2</v>
      </c>
      <c r="D36">
        <v>1.5</v>
      </c>
      <c r="E36" s="10" t="str">
        <f t="shared" si="0"/>
        <v>Smøreolie - 890-900</v>
      </c>
      <c r="H36" s="10">
        <v>2</v>
      </c>
      <c r="I36" s="10">
        <v>1.5</v>
      </c>
    </row>
    <row r="37" spans="1:9" x14ac:dyDescent="0.25">
      <c r="A37" t="s">
        <v>98</v>
      </c>
      <c r="B37" s="41">
        <v>870</v>
      </c>
      <c r="C37">
        <v>2</v>
      </c>
      <c r="D37">
        <v>1.5</v>
      </c>
      <c r="E37" s="10" t="str">
        <f t="shared" si="0"/>
        <v>Terpentinolie - 870</v>
      </c>
      <c r="H37" s="10">
        <v>2</v>
      </c>
      <c r="I37" s="10">
        <v>1.5</v>
      </c>
    </row>
    <row r="38" spans="1:9" x14ac:dyDescent="0.25">
      <c r="A38" t="s">
        <v>99</v>
      </c>
      <c r="B38" s="41">
        <v>970</v>
      </c>
      <c r="C38">
        <v>3</v>
      </c>
      <c r="D38">
        <v>2</v>
      </c>
      <c r="E38" s="10" t="str">
        <f t="shared" si="0"/>
        <v>Tetraline - 970</v>
      </c>
      <c r="H38" s="10">
        <v>3</v>
      </c>
      <c r="I38" s="10">
        <v>2</v>
      </c>
    </row>
    <row r="39" spans="1:9" x14ac:dyDescent="0.25">
      <c r="A39" t="s">
        <v>100</v>
      </c>
      <c r="B39" s="41">
        <v>864</v>
      </c>
      <c r="C39">
        <v>2</v>
      </c>
      <c r="D39">
        <v>1.5</v>
      </c>
      <c r="E39" s="10" t="str">
        <f t="shared" si="0"/>
        <v>Toluen - 864</v>
      </c>
      <c r="H39" s="10">
        <v>2</v>
      </c>
      <c r="I39" s="10">
        <v>1.5</v>
      </c>
    </row>
    <row r="40" spans="1:9" x14ac:dyDescent="0.25">
      <c r="A40" t="s">
        <v>101</v>
      </c>
      <c r="B40" s="41">
        <v>820</v>
      </c>
      <c r="C40">
        <v>1</v>
      </c>
      <c r="D40">
        <v>1</v>
      </c>
      <c r="E40" s="10" t="str">
        <f t="shared" si="0"/>
        <v>Transformerolie - 820</v>
      </c>
      <c r="H40" s="10">
        <v>1</v>
      </c>
      <c r="I40" s="10">
        <v>1</v>
      </c>
    </row>
    <row r="41" spans="1:9" x14ac:dyDescent="0.25">
      <c r="A41" t="s">
        <v>102</v>
      </c>
      <c r="B41" s="41">
        <v>860</v>
      </c>
      <c r="C41">
        <v>2</v>
      </c>
      <c r="D41">
        <v>1.5</v>
      </c>
      <c r="E41" s="10" t="str">
        <f t="shared" si="0"/>
        <v>Xylen - 860</v>
      </c>
      <c r="H41" s="10">
        <v>2</v>
      </c>
      <c r="I41" s="10">
        <v>1.5</v>
      </c>
    </row>
    <row r="42" spans="1:9" x14ac:dyDescent="0.25">
      <c r="A42" t="s">
        <v>103</v>
      </c>
      <c r="B42" s="41">
        <v>900</v>
      </c>
      <c r="C42">
        <v>3</v>
      </c>
      <c r="D42">
        <v>2</v>
      </c>
      <c r="E42" s="10" t="str">
        <f t="shared" si="0"/>
        <v>Ætylbutyrat - 900</v>
      </c>
      <c r="H42" s="10">
        <v>3</v>
      </c>
      <c r="I42" s="10">
        <v>2</v>
      </c>
    </row>
  </sheetData>
  <sheetProtection algorithmName="SHA-512" hashValue="jqXJEXjVAQGlJ5kZxhvSixdXdGT44Ot9QeJ679RDfZPKVokYBXocurui4lOJBHp6FXBOAF6Bh+oFFsYChzdFSA==" saltValue="SlSSHE8sJzm8sV3rGhZZSw==" spinCount="100000" sheet="1" objects="1" scenarios="1" selectLockedCells="1" selectUnlockedCells="1"/>
  <mergeCells count="1">
    <mergeCell ref="A1:D1"/>
  </mergeCells>
  <dataValidations disablePrompts="1" count="1">
    <dataValidation type="whole" allowBlank="1" showInputMessage="1" showErrorMessage="1" error="2. tap ventil er større end 1. tapventil" sqref="N14" xr:uid="{00000000-0002-0000-0400-000000000000}">
      <formula1>0</formula1>
      <formula2>1</formula2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Forudsætninger</vt:lpstr>
      <vt:lpstr>Figurer</vt:lpstr>
      <vt:lpstr>Tapventiler</vt:lpstr>
      <vt:lpstr>Dimensionering</vt:lpstr>
      <vt:lpstr>Densitet</vt:lpstr>
    </vt:vector>
  </TitlesOfParts>
  <Company>Johansson &amp; Kalstrup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Ising Drost Hansen</dc:creator>
  <cp:lastModifiedBy>LOBS</cp:lastModifiedBy>
  <cp:lastPrinted>2019-08-01T13:00:46Z</cp:lastPrinted>
  <dcterms:created xsi:type="dcterms:W3CDTF">2013-02-13T08:36:06Z</dcterms:created>
  <dcterms:modified xsi:type="dcterms:W3CDTF">2020-10-07T13:44:32Z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