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dsen-jih\AppData\Local\Microsoft\Windows\INetCache\Content.Outlook\3IAD71YO\"/>
    </mc:Choice>
  </mc:AlternateContent>
  <xr:revisionPtr revIDLastSave="0" documentId="8_{0D096A78-3C60-4D03-81A4-828AFB6577B6}" xr6:coauthVersionLast="45" xr6:coauthVersionMax="45" xr10:uidLastSave="{00000000-0000-0000-0000-000000000000}"/>
  <bookViews>
    <workbookView xWindow="-120" yWindow="-120" windowWidth="20730" windowHeight="11160" xr2:uid="{595D9960-AAD1-43EB-B3A9-EEFCF4CA0BB5}"/>
  </bookViews>
  <sheets>
    <sheet name="Forudsætninger" sheetId="4" r:id="rId1"/>
    <sheet name="Dimensionering - Metode B" sheetId="1" r:id="rId2"/>
    <sheet name="Dimensionering - Metode C" sheetId="3" r:id="rId3"/>
    <sheet name="Data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28" i="3"/>
  <c r="D25" i="3"/>
  <c r="D32" i="1"/>
  <c r="D15" i="3" l="1"/>
  <c r="D14" i="3" s="1"/>
  <c r="D13" i="3"/>
  <c r="D38" i="1"/>
  <c r="D31" i="3" l="1"/>
  <c r="D33" i="3" l="1"/>
  <c r="D36" i="3" s="1"/>
  <c r="D14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35" i="3" l="1"/>
  <c r="D40" i="1"/>
  <c r="D43" i="1" l="1"/>
  <c r="D42" i="1"/>
</calcChain>
</file>

<file path=xl/sharedStrings.xml><?xml version="1.0" encoding="utf-8"?>
<sst xmlns="http://schemas.openxmlformats.org/spreadsheetml/2006/main" count="183" uniqueCount="125">
  <si>
    <t>Kogekar - 25 mm udløb</t>
  </si>
  <si>
    <t>Kogekar - 50 mm udløb</t>
  </si>
  <si>
    <t>Kipkogekar - 70 mm udløb</t>
  </si>
  <si>
    <t>Kipkogekar - 100 mm udløb</t>
  </si>
  <si>
    <t>Vask - 40 mm udløb u/ vandlås</t>
  </si>
  <si>
    <t>Vask - 50 mm udløb u/ vandlås</t>
  </si>
  <si>
    <t>Vask - 40 mm udløb m/ vandlås</t>
  </si>
  <si>
    <t>Vask - 50 mm udløb m/ vandlås</t>
  </si>
  <si>
    <t>Opvaskemaskine</t>
  </si>
  <si>
    <t>Kipstegepand</t>
  </si>
  <si>
    <t>Fast stegepande</t>
  </si>
  <si>
    <t>Højtryks eller damp renser</t>
  </si>
  <si>
    <t>Skraber</t>
  </si>
  <si>
    <t>Grøntsagsvasker</t>
  </si>
  <si>
    <t>Installation</t>
  </si>
  <si>
    <t>Antal</t>
  </si>
  <si>
    <t>DN15 Tappeventil (3/4")</t>
  </si>
  <si>
    <t>DN20 Tappeventil (1/2")</t>
  </si>
  <si>
    <t>DN25 Tappeventil (1")</t>
  </si>
  <si>
    <t>Spildevands temperatur ved indløb</t>
  </si>
  <si>
    <t>Mindre end eller ligmed 60 grader</t>
  </si>
  <si>
    <t>Større end 60 grader</t>
  </si>
  <si>
    <t>Densitet</t>
  </si>
  <si>
    <t>Mindre end eller ligmed 0,94 g/cm3</t>
  </si>
  <si>
    <t>Større end 0,94 g/cm3</t>
  </si>
  <si>
    <t>Rensemidler</t>
  </si>
  <si>
    <t>Køkkentype</t>
  </si>
  <si>
    <t>Hotel</t>
  </si>
  <si>
    <t>Restaurant</t>
  </si>
  <si>
    <t>Sygehus</t>
  </si>
  <si>
    <t>Kantine</t>
  </si>
  <si>
    <t>Installationer</t>
  </si>
  <si>
    <t>Genstand</t>
  </si>
  <si>
    <t>l/s</t>
  </si>
  <si>
    <t xml:space="preserve">qi </t>
  </si>
  <si>
    <t>N = 0</t>
  </si>
  <si>
    <t>N = 1</t>
  </si>
  <si>
    <t>N = 2</t>
  </si>
  <si>
    <t>N = 3</t>
  </si>
  <si>
    <t>n = 4</t>
  </si>
  <si>
    <t>n =&gt;5</t>
  </si>
  <si>
    <t>NS</t>
  </si>
  <si>
    <t>Vælg</t>
  </si>
  <si>
    <t>faktor</t>
  </si>
  <si>
    <t>Faktor</t>
  </si>
  <si>
    <t>Liter</t>
  </si>
  <si>
    <t>eller fremkomst af nye standarder m.v. kan der forekomme fejl eller unøjagtigheder i beregningsskemaerne.</t>
  </si>
  <si>
    <t>Projekt navn:</t>
  </si>
  <si>
    <t>Dato:</t>
  </si>
  <si>
    <t xml:space="preserve">Vælg </t>
  </si>
  <si>
    <t>Virksomhedstype</t>
  </si>
  <si>
    <t>Daglige kuverter</t>
  </si>
  <si>
    <t>Daglige åbningstimer</t>
  </si>
  <si>
    <t>Aldrig</t>
  </si>
  <si>
    <t>Alm. Brug</t>
  </si>
  <si>
    <t>Spec. Brug</t>
  </si>
  <si>
    <t>Tabel A.3</t>
  </si>
  <si>
    <t>Køkken type</t>
  </si>
  <si>
    <t>Volume vand pr. måltid</t>
  </si>
  <si>
    <t>Tabel A.5</t>
  </si>
  <si>
    <t>Spidsbelastning F</t>
  </si>
  <si>
    <t>Slagterier og slagter</t>
  </si>
  <si>
    <t>Mellem, 6-10 GV/uge</t>
  </si>
  <si>
    <t>Stor, 11-40 GV/uge</t>
  </si>
  <si>
    <t>Vandforbrug pr. kg</t>
  </si>
  <si>
    <t>Slagteri/slagter</t>
  </si>
  <si>
    <t>GV = 1 ko eller 2,5 gris</t>
  </si>
  <si>
    <t>Tabel A.4</t>
  </si>
  <si>
    <t>Antal GV pr. uge</t>
  </si>
  <si>
    <t>Storkøkken (24 t.)</t>
  </si>
  <si>
    <t>Lille, 0-5 GV/uge</t>
  </si>
  <si>
    <t>Beregningsskema til dimensionering af Fedtudskiller (DS/EN1825-2)</t>
  </si>
  <si>
    <t>Kipstegepande</t>
  </si>
  <si>
    <t>Højtryks- eller damprenser</t>
  </si>
  <si>
    <t>DN15 Tappeventil (1/2")</t>
  </si>
  <si>
    <t>DN20 Tappeventil (3/4")</t>
  </si>
  <si>
    <t>Temperaturfaktor</t>
  </si>
  <si>
    <t>Vandtemperatur over/under 60 grader</t>
  </si>
  <si>
    <t>Densitetsfaktor</t>
  </si>
  <si>
    <t>Densitet over/ under 0,94 g/cm3</t>
  </si>
  <si>
    <t>Rensemiddelsfaktor</t>
  </si>
  <si>
    <t>Brug &amp; type af rensemiddel</t>
  </si>
  <si>
    <t>Valgt udskiller</t>
  </si>
  <si>
    <t xml:space="preserve">Fedtudskilleranlæg skal dimensioneres iht. DS/EN 1825-2 efter følgende formel:  </t>
  </si>
  <si>
    <t>Slamfang</t>
  </si>
  <si>
    <t>Udskiller</t>
  </si>
  <si>
    <t>Prøvebrønd</t>
  </si>
  <si>
    <t>husholdning, og hvor der forekommer fedtspild.</t>
  </si>
  <si>
    <t>Metode A:</t>
  </si>
  <si>
    <t>Måling</t>
  </si>
  <si>
    <t>Metode B:</t>
  </si>
  <si>
    <t>Metode C:</t>
  </si>
  <si>
    <t>Metode D:</t>
  </si>
  <si>
    <t xml:space="preserve">Dimensionering af fedtudskillere, beregning iht. DS/EN1825-2 </t>
  </si>
  <si>
    <t>Ved køkken undlades, antal gv pr. uge.</t>
  </si>
  <si>
    <t>Ved Slagteri undlades, daglige kuverter .</t>
  </si>
  <si>
    <t xml:space="preserve">Ved slagteri regnes der med 5 slagtedage pr. uge. Hvis dette ikke er tilfældet kontaktes Lauridsen Handel. </t>
  </si>
  <si>
    <t>Et fedtudskilleranlæg består normalt af følgende 3 dele:</t>
  </si>
  <si>
    <t>Generelle krav til udskillere iht.  DS432:2020, Afløbsinstallationer</t>
  </si>
  <si>
    <t>Hvis udskillerens afløb ligger under højeste opstemningsniveau, og der er krav om permanent drift, sikres driften ved pumpeanlæg</t>
  </si>
  <si>
    <t>eller bypassanlæg på afløbssiden.</t>
  </si>
  <si>
    <t>Udskillere må kun tilføres afløbsvand der kræver udskillelse.</t>
  </si>
  <si>
    <t>Udskillere skal fyldes med vand efter hver tømning.</t>
  </si>
  <si>
    <t>Anvendelse af udskillere iht.  DS432:2020, Afløbsinstallationer</t>
  </si>
  <si>
    <t>Fedtudskillere anvendes på afløb fra lokaliteter, hvor der under normal drift forekommer fedt i afløbsvandet i større mængde end ved en privat</t>
  </si>
  <si>
    <t>Beregning baseret på installationsgenstande, der leder fedtholdigt vand til udskiller</t>
  </si>
  <si>
    <t>Beregning baseret på virksomhedstyper, der udleder fedtholdigt spildevand til udskiller</t>
  </si>
  <si>
    <t>Speciel udregning som accepteres af den stedelige myndighed</t>
  </si>
  <si>
    <t>I Danmark anbefales brug af metode B ifm. beregning af fedtudskilleren nominelle størrelse (NS)</t>
  </si>
  <si>
    <t>Metode C kan bruges ifm. Et hurtigt overslag over den nominelle størrelse.</t>
  </si>
  <si>
    <t>Ved brug af metode B, indtastes installationsgenstande, temperatur, densitet og rensemiddelfaktor</t>
  </si>
  <si>
    <t>Dimensioneringmetoder iht. DS/EN1825-2</t>
  </si>
  <si>
    <t>I dette beregningsprogram, kan der dimensioneres efter metode B og metode C</t>
  </si>
  <si>
    <t>Ellers udfyldes øvrige felter såsom, daglige åbningstider, temperator, densitet og rensemiddelfaktor</t>
  </si>
  <si>
    <t>Ved brug af metode C, indtastes virksomhedstype, køkken eller slagteri.</t>
  </si>
  <si>
    <t>Skemamet beregner den teoretiske nominelle størrelse  (NS), og angiver handelsbetegnelsen for den udskiller der skal bruges.</t>
  </si>
  <si>
    <t xml:space="preserve">Valgt udskiller </t>
  </si>
  <si>
    <t>Metode C - Beregning efter Virksomhedstype</t>
  </si>
  <si>
    <t>Beregningsresultat (NS)</t>
  </si>
  <si>
    <t>Valgt slamfang 100 x NS</t>
  </si>
  <si>
    <t>Valgt slamfang 100/200 x NS</t>
  </si>
  <si>
    <t>Byggeriets Kvalitetskontrrol  tilstræber at beregningsskemaer m.v. er korrekte, men bl.a. som følge af lovændringer</t>
  </si>
  <si>
    <t>Byggeriets Kvalitetskontrol påtager sig derfor intet ansvar for beregningsskemaernes rigtighed eller for enhver utilsigtet virkning af deres brug.</t>
  </si>
  <si>
    <t>Byggeriets Kvalitetskontrol tilstræber at beregningsskemaer m.v. er korrekte, men bl.a. som følge af lovændringer</t>
  </si>
  <si>
    <t>Metode B - Beregning efter installationsgenstande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</si>
</sst>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ck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medium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2" fontId="0" fillId="0" borderId="13" xfId="0" applyNumberFormat="1" applyBorder="1"/>
    <xf numFmtId="0" fontId="0" fillId="0" borderId="14" xfId="0" applyBorder="1"/>
    <xf numFmtId="2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7" fillId="0" borderId="0" xfId="0" applyFont="1" applyAlignment="1" applyProtection="1"/>
    <xf numFmtId="0" fontId="0" fillId="0" borderId="0" xfId="0" applyProtection="1"/>
    <xf numFmtId="0" fontId="0" fillId="0" borderId="29" xfId="0" applyBorder="1" applyProtection="1"/>
    <xf numFmtId="0" fontId="0" fillId="0" borderId="5" xfId="0" applyBorder="1" applyProtection="1"/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6" fillId="0" borderId="20" xfId="0" applyFont="1" applyBorder="1" applyProtection="1"/>
    <xf numFmtId="0" fontId="0" fillId="0" borderId="0" xfId="0" applyBorder="1" applyProtection="1"/>
    <xf numFmtId="0" fontId="0" fillId="0" borderId="3" xfId="0" applyBorder="1" applyProtection="1"/>
    <xf numFmtId="2" fontId="0" fillId="0" borderId="4" xfId="0" applyNumberFormat="1" applyBorder="1" applyProtection="1"/>
    <xf numFmtId="0" fontId="0" fillId="0" borderId="23" xfId="0" applyBorder="1" applyProtection="1"/>
    <xf numFmtId="2" fontId="0" fillId="0" borderId="25" xfId="0" applyNumberFormat="1" applyBorder="1" applyProtection="1"/>
    <xf numFmtId="0" fontId="2" fillId="0" borderId="23" xfId="0" applyFont="1" applyBorder="1" applyProtection="1"/>
    <xf numFmtId="0" fontId="1" fillId="0" borderId="0" xfId="0" applyFont="1" applyBorder="1" applyProtection="1"/>
    <xf numFmtId="0" fontId="1" fillId="0" borderId="0" xfId="0" applyFont="1" applyProtection="1"/>
    <xf numFmtId="0" fontId="0" fillId="0" borderId="26" xfId="0" applyBorder="1" applyProtection="1"/>
    <xf numFmtId="2" fontId="0" fillId="0" borderId="28" xfId="0" applyNumberFormat="1" applyBorder="1" applyProtection="1"/>
    <xf numFmtId="0" fontId="0" fillId="0" borderId="4" xfId="0" applyBorder="1" applyProtection="1"/>
    <xf numFmtId="0" fontId="3" fillId="0" borderId="0" xfId="0" applyFont="1" applyBorder="1" applyProtection="1"/>
    <xf numFmtId="0" fontId="0" fillId="0" borderId="20" xfId="0" applyBorder="1" applyProtection="1"/>
    <xf numFmtId="0" fontId="0" fillId="0" borderId="22" xfId="0" applyBorder="1" applyProtection="1"/>
    <xf numFmtId="0" fontId="0" fillId="0" borderId="20" xfId="0" applyFont="1" applyBorder="1" applyProtection="1"/>
    <xf numFmtId="0" fontId="0" fillId="0" borderId="6" xfId="0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29" xfId="0" applyFont="1" applyBorder="1" applyProtection="1"/>
    <xf numFmtId="0" fontId="7" fillId="0" borderId="30" xfId="0" applyFont="1" applyBorder="1" applyProtection="1"/>
    <xf numFmtId="0" fontId="7" fillId="0" borderId="32" xfId="0" applyFont="1" applyBorder="1" applyProtection="1"/>
    <xf numFmtId="0" fontId="7" fillId="0" borderId="33" xfId="0" applyFont="1" applyBorder="1" applyProtection="1"/>
    <xf numFmtId="0" fontId="5" fillId="0" borderId="0" xfId="0" applyFont="1" applyProtection="1"/>
    <xf numFmtId="0" fontId="0" fillId="2" borderId="0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Font="1" applyBorder="1"/>
    <xf numFmtId="0" fontId="0" fillId="0" borderId="20" xfId="0" applyFont="1" applyBorder="1"/>
    <xf numFmtId="0" fontId="0" fillId="0" borderId="22" xfId="0" applyBorder="1"/>
    <xf numFmtId="0" fontId="0" fillId="0" borderId="20" xfId="0" applyBorder="1"/>
    <xf numFmtId="0" fontId="6" fillId="0" borderId="20" xfId="0" applyFont="1" applyBorder="1"/>
    <xf numFmtId="0" fontId="6" fillId="0" borderId="22" xfId="0" applyFont="1" applyBorder="1"/>
    <xf numFmtId="0" fontId="0" fillId="0" borderId="39" xfId="0" applyBorder="1"/>
    <xf numFmtId="0" fontId="0" fillId="0" borderId="9" xfId="0" applyBorder="1"/>
    <xf numFmtId="0" fontId="0" fillId="0" borderId="11" xfId="0" applyBorder="1"/>
    <xf numFmtId="0" fontId="0" fillId="0" borderId="40" xfId="0" applyBorder="1"/>
    <xf numFmtId="0" fontId="0" fillId="0" borderId="41" xfId="0" applyBorder="1"/>
    <xf numFmtId="0" fontId="0" fillId="0" borderId="12" xfId="0" applyFill="1" applyBorder="1"/>
    <xf numFmtId="0" fontId="0" fillId="0" borderId="13" xfId="0" applyFill="1" applyBorder="1"/>
    <xf numFmtId="0" fontId="0" fillId="0" borderId="9" xfId="0" applyFill="1" applyBorder="1"/>
    <xf numFmtId="0" fontId="0" fillId="0" borderId="14" xfId="0" applyFill="1" applyBorder="1"/>
    <xf numFmtId="0" fontId="0" fillId="0" borderId="16" xfId="0" applyFill="1" applyBorder="1"/>
    <xf numFmtId="0" fontId="8" fillId="0" borderId="42" xfId="0" applyFont="1" applyBorder="1"/>
    <xf numFmtId="0" fontId="0" fillId="0" borderId="43" xfId="0" applyBorder="1"/>
    <xf numFmtId="0" fontId="0" fillId="0" borderId="44" xfId="0" applyBorder="1"/>
    <xf numFmtId="0" fontId="0" fillId="0" borderId="18" xfId="0" applyBorder="1"/>
    <xf numFmtId="0" fontId="9" fillId="0" borderId="4" xfId="0" applyFont="1" applyBorder="1"/>
    <xf numFmtId="2" fontId="0" fillId="0" borderId="4" xfId="0" applyNumberFormat="1" applyBorder="1"/>
    <xf numFmtId="0" fontId="0" fillId="2" borderId="45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10" fillId="0" borderId="0" xfId="0" applyFont="1"/>
    <xf numFmtId="2" fontId="0" fillId="0" borderId="46" xfId="0" applyNumberForma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6" fillId="0" borderId="0" xfId="0" applyFont="1"/>
    <xf numFmtId="0" fontId="12" fillId="0" borderId="0" xfId="0" applyFont="1"/>
    <xf numFmtId="0" fontId="6" fillId="0" borderId="22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0" fontId="6" fillId="0" borderId="21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7" fillId="3" borderId="31" xfId="0" applyFont="1" applyFill="1" applyBorder="1" applyProtection="1"/>
    <xf numFmtId="1" fontId="7" fillId="3" borderId="34" xfId="0" applyNumberFormat="1" applyFont="1" applyFill="1" applyBorder="1" applyProtection="1"/>
    <xf numFmtId="2" fontId="0" fillId="3" borderId="2" xfId="0" applyNumberFormat="1" applyFill="1" applyBorder="1"/>
    <xf numFmtId="2" fontId="7" fillId="3" borderId="19" xfId="0" applyNumberFormat="1" applyFont="1" applyFill="1" applyBorder="1" applyProtection="1"/>
    <xf numFmtId="0" fontId="11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3" borderId="30" xfId="0" applyFont="1" applyFill="1" applyBorder="1" applyAlignment="1" applyProtection="1">
      <alignment horizont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 applyProtection="1">
      <alignment horizontal="center"/>
      <protection locked="0"/>
    </xf>
    <xf numFmtId="0" fontId="6" fillId="3" borderId="34" xfId="0" applyFont="1" applyFill="1" applyBorder="1" applyAlignment="1" applyProtection="1">
      <alignment horizontal="center"/>
      <protection locked="0"/>
    </xf>
    <xf numFmtId="0" fontId="13" fillId="3" borderId="33" xfId="0" applyFont="1" applyFill="1" applyBorder="1" applyAlignment="1" applyProtection="1">
      <alignment horizontal="center"/>
      <protection locked="0"/>
    </xf>
    <xf numFmtId="0" fontId="13" fillId="3" borderId="34" xfId="0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3</xdr:row>
      <xdr:rowOff>38100</xdr:rowOff>
    </xdr:from>
    <xdr:to>
      <xdr:col>7</xdr:col>
      <xdr:colOff>609600</xdr:colOff>
      <xdr:row>3</xdr:row>
      <xdr:rowOff>142875</xdr:rowOff>
    </xdr:to>
    <xdr:sp macro="" textlink="">
      <xdr:nvSpPr>
        <xdr:cNvPr id="3" name="Højrepil 1">
          <a:extLst>
            <a:ext uri="{FF2B5EF4-FFF2-40B4-BE49-F238E27FC236}">
              <a16:creationId xmlns:a16="http://schemas.microsoft.com/office/drawing/2014/main" id="{941B73B9-0893-4DA1-BE10-312C48DC45BD}"/>
            </a:ext>
          </a:extLst>
        </xdr:cNvPr>
        <xdr:cNvSpPr/>
      </xdr:nvSpPr>
      <xdr:spPr>
        <a:xfrm>
          <a:off x="3524250" y="1047750"/>
          <a:ext cx="47625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9</xdr:col>
      <xdr:colOff>85725</xdr:colOff>
      <xdr:row>3</xdr:row>
      <xdr:rowOff>47625</xdr:rowOff>
    </xdr:from>
    <xdr:to>
      <xdr:col>9</xdr:col>
      <xdr:colOff>561975</xdr:colOff>
      <xdr:row>3</xdr:row>
      <xdr:rowOff>152400</xdr:rowOff>
    </xdr:to>
    <xdr:sp macro="" textlink="">
      <xdr:nvSpPr>
        <xdr:cNvPr id="4" name="Højrepil 2">
          <a:extLst>
            <a:ext uri="{FF2B5EF4-FFF2-40B4-BE49-F238E27FC236}">
              <a16:creationId xmlns:a16="http://schemas.microsoft.com/office/drawing/2014/main" id="{46B902E6-5334-45F7-9EBA-03BB7CC3AF74}"/>
            </a:ext>
          </a:extLst>
        </xdr:cNvPr>
        <xdr:cNvSpPr/>
      </xdr:nvSpPr>
      <xdr:spPr>
        <a:xfrm>
          <a:off x="5048250" y="1057275"/>
          <a:ext cx="47625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oneCell">
    <xdr:from>
      <xdr:col>7</xdr:col>
      <xdr:colOff>495300</xdr:colOff>
      <xdr:row>14</xdr:row>
      <xdr:rowOff>95250</xdr:rowOff>
    </xdr:from>
    <xdr:to>
      <xdr:col>9</xdr:col>
      <xdr:colOff>295275</xdr:colOff>
      <xdr:row>16</xdr:row>
      <xdr:rowOff>168846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3D85528-E1F4-437C-97CC-F00D5DAA1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619500"/>
          <a:ext cx="1019175" cy="454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7CC9-B100-4822-9C4F-DF7517CF4DD3}">
  <dimension ref="A1:N39"/>
  <sheetViews>
    <sheetView tabSelected="1" workbookViewId="0">
      <selection sqref="A1:XFD1048576"/>
    </sheetView>
  </sheetViews>
  <sheetFormatPr defaultRowHeight="15" x14ac:dyDescent="0.25"/>
  <cols>
    <col min="10" max="11" width="11.42578125" bestFit="1" customWidth="1"/>
    <col min="13" max="13" width="14.28515625" customWidth="1"/>
  </cols>
  <sheetData>
    <row r="1" spans="1:14" ht="21" x14ac:dyDescent="0.35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3" spans="1:14" ht="15.75" thickBot="1" x14ac:dyDescent="0.3"/>
    <row r="4" spans="1:14" ht="15.75" thickBot="1" x14ac:dyDescent="0.3">
      <c r="A4" t="s">
        <v>97</v>
      </c>
      <c r="G4" s="68" t="s">
        <v>84</v>
      </c>
      <c r="H4" s="85"/>
      <c r="I4" s="86" t="s">
        <v>85</v>
      </c>
      <c r="J4" s="85"/>
      <c r="K4" s="69" t="s">
        <v>86</v>
      </c>
    </row>
    <row r="6" spans="1:14" x14ac:dyDescent="0.25">
      <c r="A6" s="87" t="s">
        <v>98</v>
      </c>
      <c r="F6" s="7"/>
      <c r="G6" s="7"/>
      <c r="H6" s="8"/>
      <c r="I6" s="7"/>
      <c r="J6" s="7"/>
    </row>
    <row r="7" spans="1:14" x14ac:dyDescent="0.25">
      <c r="A7" t="s">
        <v>101</v>
      </c>
      <c r="F7" s="7"/>
      <c r="G7" s="7"/>
      <c r="H7" s="8"/>
      <c r="I7" s="7"/>
      <c r="J7" s="7"/>
    </row>
    <row r="8" spans="1:14" x14ac:dyDescent="0.25">
      <c r="A8" t="s">
        <v>99</v>
      </c>
      <c r="F8" s="7"/>
      <c r="G8" s="7"/>
      <c r="H8" s="8"/>
      <c r="I8" s="7"/>
      <c r="J8" s="7"/>
    </row>
    <row r="9" spans="1:14" x14ac:dyDescent="0.25">
      <c r="A9" t="s">
        <v>100</v>
      </c>
      <c r="F9" s="7"/>
      <c r="G9" s="7"/>
      <c r="H9" s="8"/>
      <c r="I9" s="7"/>
      <c r="J9" s="7"/>
    </row>
    <row r="10" spans="1:14" x14ac:dyDescent="0.25">
      <c r="A10" t="s">
        <v>102</v>
      </c>
      <c r="F10" s="7"/>
      <c r="G10" s="7"/>
      <c r="H10" s="8"/>
      <c r="I10" s="7"/>
      <c r="J10" s="7"/>
    </row>
    <row r="12" spans="1:14" x14ac:dyDescent="0.25">
      <c r="A12" s="87" t="s">
        <v>103</v>
      </c>
    </row>
    <row r="13" spans="1:14" x14ac:dyDescent="0.25">
      <c r="A13" t="s">
        <v>104</v>
      </c>
    </row>
    <row r="14" spans="1:14" x14ac:dyDescent="0.25">
      <c r="A14" t="s">
        <v>87</v>
      </c>
    </row>
    <row r="16" spans="1:14" x14ac:dyDescent="0.25">
      <c r="A16" t="s">
        <v>83</v>
      </c>
    </row>
    <row r="18" spans="1:3" x14ac:dyDescent="0.25">
      <c r="A18" s="87" t="s">
        <v>111</v>
      </c>
    </row>
    <row r="19" spans="1:3" x14ac:dyDescent="0.25">
      <c r="A19" t="s">
        <v>88</v>
      </c>
      <c r="C19" t="s">
        <v>89</v>
      </c>
    </row>
    <row r="20" spans="1:3" x14ac:dyDescent="0.25">
      <c r="A20" t="s">
        <v>90</v>
      </c>
      <c r="C20" t="s">
        <v>105</v>
      </c>
    </row>
    <row r="21" spans="1:3" x14ac:dyDescent="0.25">
      <c r="A21" t="s">
        <v>91</v>
      </c>
      <c r="C21" t="s">
        <v>106</v>
      </c>
    </row>
    <row r="22" spans="1:3" x14ac:dyDescent="0.25">
      <c r="A22" t="s">
        <v>92</v>
      </c>
      <c r="C22" t="s">
        <v>107</v>
      </c>
    </row>
    <row r="24" spans="1:3" x14ac:dyDescent="0.25">
      <c r="A24" t="s">
        <v>108</v>
      </c>
    </row>
    <row r="25" spans="1:3" x14ac:dyDescent="0.25">
      <c r="A25" t="s">
        <v>109</v>
      </c>
    </row>
    <row r="27" spans="1:3" x14ac:dyDescent="0.25">
      <c r="A27" t="s">
        <v>112</v>
      </c>
    </row>
    <row r="29" spans="1:3" x14ac:dyDescent="0.25">
      <c r="A29" t="s">
        <v>110</v>
      </c>
    </row>
    <row r="30" spans="1:3" x14ac:dyDescent="0.25">
      <c r="A30" t="s">
        <v>115</v>
      </c>
    </row>
    <row r="32" spans="1:3" x14ac:dyDescent="0.25">
      <c r="A32" t="s">
        <v>114</v>
      </c>
    </row>
    <row r="33" spans="1:1" x14ac:dyDescent="0.25">
      <c r="A33" s="88" t="s">
        <v>94</v>
      </c>
    </row>
    <row r="34" spans="1:1" x14ac:dyDescent="0.25">
      <c r="A34" s="88" t="s">
        <v>95</v>
      </c>
    </row>
    <row r="35" spans="1:1" x14ac:dyDescent="0.25">
      <c r="A35" t="s">
        <v>113</v>
      </c>
    </row>
    <row r="36" spans="1:1" x14ac:dyDescent="0.25">
      <c r="A36" s="88" t="s">
        <v>96</v>
      </c>
    </row>
    <row r="38" spans="1:1" x14ac:dyDescent="0.25">
      <c r="A38" s="87"/>
    </row>
    <row r="39" spans="1:1" x14ac:dyDescent="0.25">
      <c r="A39" s="87"/>
    </row>
  </sheetData>
  <sheetProtection algorithmName="SHA-512" hashValue="x4ay034l7Vf4j6WCce5wWjLseAjQ9qjtyoER+c6IakK0V8YZ9Y9yPOrzW3xbyDNBuZYhO6Eto8gbXdw4zGzYaw==" saltValue="CF30LgNnkJLC0USHrkDMXg==" spinCount="100000" sheet="1" selectLockedCells="1" selectUnlockedCells="1"/>
  <mergeCells count="1">
    <mergeCell ref="A1:N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0B5F-20DD-4EE8-9B87-0530505534AA}">
  <dimension ref="A1:I47"/>
  <sheetViews>
    <sheetView topLeftCell="A4" zoomScaleNormal="100" workbookViewId="0">
      <selection activeCell="C8" sqref="C8:D8"/>
    </sheetView>
  </sheetViews>
  <sheetFormatPr defaultRowHeight="15" x14ac:dyDescent="0.25"/>
  <cols>
    <col min="1" max="1" width="9.140625" style="24"/>
    <col min="2" max="2" width="38.28515625" style="24" bestFit="1" customWidth="1"/>
    <col min="3" max="4" width="14.7109375" style="24" customWidth="1"/>
    <col min="5" max="6" width="9.140625" style="24"/>
    <col min="7" max="7" width="33" style="24" bestFit="1" customWidth="1"/>
    <col min="8" max="16384" width="9.140625" style="24"/>
  </cols>
  <sheetData>
    <row r="1" spans="1:9" ht="18.75" x14ac:dyDescent="0.3">
      <c r="A1" s="23"/>
      <c r="B1" s="23"/>
      <c r="C1" s="23"/>
      <c r="D1" s="23"/>
      <c r="E1" s="23"/>
      <c r="F1" s="23"/>
      <c r="G1" s="23"/>
      <c r="H1" s="23"/>
      <c r="I1" s="23"/>
    </row>
    <row r="6" spans="1:9" ht="18.75" x14ac:dyDescent="0.3">
      <c r="A6" s="101" t="s">
        <v>71</v>
      </c>
      <c r="B6" s="101"/>
      <c r="C6" s="101"/>
      <c r="D6" s="101"/>
      <c r="E6" s="101"/>
    </row>
    <row r="7" spans="1:9" ht="15.75" thickBot="1" x14ac:dyDescent="0.3"/>
    <row r="8" spans="1:9" ht="15.75" thickTop="1" x14ac:dyDescent="0.25">
      <c r="B8" s="25" t="s">
        <v>47</v>
      </c>
      <c r="C8" s="102"/>
      <c r="D8" s="103"/>
    </row>
    <row r="9" spans="1:9" ht="15.75" thickBot="1" x14ac:dyDescent="0.3">
      <c r="B9" s="26" t="s">
        <v>48</v>
      </c>
      <c r="C9" s="104"/>
      <c r="D9" s="105"/>
    </row>
    <row r="10" spans="1:9" ht="16.5" thickTop="1" thickBot="1" x14ac:dyDescent="0.3"/>
    <row r="11" spans="1:9" ht="20.25" thickTop="1" thickBot="1" x14ac:dyDescent="0.35">
      <c r="A11" s="27"/>
      <c r="B11" s="98" t="s">
        <v>124</v>
      </c>
      <c r="C11" s="99"/>
      <c r="D11" s="100"/>
      <c r="E11" s="28"/>
    </row>
    <row r="12" spans="1:9" ht="15.75" thickBot="1" x14ac:dyDescent="0.3">
      <c r="B12" s="29" t="s">
        <v>14</v>
      </c>
      <c r="C12" s="90" t="s">
        <v>15</v>
      </c>
      <c r="D12" s="89" t="s">
        <v>33</v>
      </c>
      <c r="E12" s="30"/>
    </row>
    <row r="13" spans="1:9" x14ac:dyDescent="0.25">
      <c r="B13" s="31" t="s">
        <v>0</v>
      </c>
      <c r="C13" s="53"/>
      <c r="D13" s="32" t="str">
        <f>IF(C13="","",IF(C13&gt;5,Data!B5*C13*Data!H5,Data!B5*C13*HLOOKUP(C13,Data!$C$3:$H$5,3,FALSE)))</f>
        <v/>
      </c>
      <c r="E13" s="30"/>
    </row>
    <row r="14" spans="1:9" x14ac:dyDescent="0.25">
      <c r="B14" s="33" t="s">
        <v>1</v>
      </c>
      <c r="C14" s="54"/>
      <c r="D14" s="34" t="str">
        <f>IF(C14="","",IF(C14&gt;5,Data!B6*C14*Data!H6,Data!B6*C14*HLOOKUP(C14,Data!$C$3:$H$6,4,FALSE)))</f>
        <v/>
      </c>
      <c r="E14" s="30"/>
    </row>
    <row r="15" spans="1:9" x14ac:dyDescent="0.25">
      <c r="B15" s="33" t="s">
        <v>2</v>
      </c>
      <c r="C15" s="54"/>
      <c r="D15" s="34" t="str">
        <f>IF(C15="","",IF(C15&gt;5,Data!B7*C15*Data!H7,Data!B7*C15*HLOOKUP(C15,Data!$C$3:$H$7,5,FALSE)))</f>
        <v/>
      </c>
      <c r="E15" s="30"/>
    </row>
    <row r="16" spans="1:9" x14ac:dyDescent="0.25">
      <c r="B16" s="33" t="s">
        <v>3</v>
      </c>
      <c r="C16" s="54"/>
      <c r="D16" s="34" t="str">
        <f>IF(C16="","",IF(C16&gt;5,Data!B8*C16*Data!H8,Data!B8*C16*HLOOKUP(C16,Data!$C$3:$H$8,6,FALSE)))</f>
        <v/>
      </c>
      <c r="E16" s="30"/>
    </row>
    <row r="17" spans="2:5" x14ac:dyDescent="0.25">
      <c r="B17" s="33" t="s">
        <v>72</v>
      </c>
      <c r="C17" s="54"/>
      <c r="D17" s="34" t="str">
        <f>IF(C17="","",IF(C17&gt;5,Data!B9*C17*Data!H9,Data!B9*C17*HLOOKUP(C17,Data!$C$3:$H$9,7,FALSE)))</f>
        <v/>
      </c>
      <c r="E17" s="30"/>
    </row>
    <row r="18" spans="2:5" x14ac:dyDescent="0.25">
      <c r="B18" s="33" t="s">
        <v>10</v>
      </c>
      <c r="C18" s="54"/>
      <c r="D18" s="34" t="str">
        <f>IF(C18="","",IF(C18&gt;5,Data!B10*C18*Data!H10,Data!B10*C18*HLOOKUP(C18,Data!$C$3:$H$10,8,FALSE)))</f>
        <v/>
      </c>
      <c r="E18" s="30"/>
    </row>
    <row r="19" spans="2:5" x14ac:dyDescent="0.25">
      <c r="B19" s="33" t="s">
        <v>4</v>
      </c>
      <c r="C19" s="54"/>
      <c r="D19" s="34" t="str">
        <f>IF(C19="","",IF(C19&gt;5,Data!B11*C19*Data!H11,Data!B11*C19*HLOOKUP(C19,Data!$C$3:$H$11,9,FALSE)))</f>
        <v/>
      </c>
      <c r="E19" s="30"/>
    </row>
    <row r="20" spans="2:5" x14ac:dyDescent="0.25">
      <c r="B20" s="33" t="s">
        <v>5</v>
      </c>
      <c r="C20" s="54"/>
      <c r="D20" s="34" t="str">
        <f>IF(C20="","",IF(C20&gt;5,Data!B12*C20*Data!H12,Data!B12*C20*HLOOKUP(C20,Data!$C$3:$H$12,10,FALSE)))</f>
        <v/>
      </c>
      <c r="E20" s="30"/>
    </row>
    <row r="21" spans="2:5" x14ac:dyDescent="0.25">
      <c r="B21" s="33" t="s">
        <v>6</v>
      </c>
      <c r="C21" s="54"/>
      <c r="D21" s="34" t="str">
        <f>IF(C21="","",IF(C21&gt;5,Data!B13*C21*Data!H13,Data!B13*C21*HLOOKUP(C21,Data!$C$3:$H$13,11,FALSE)))</f>
        <v/>
      </c>
      <c r="E21" s="30"/>
    </row>
    <row r="22" spans="2:5" x14ac:dyDescent="0.25">
      <c r="B22" s="33" t="s">
        <v>7</v>
      </c>
      <c r="C22" s="54"/>
      <c r="D22" s="34" t="str">
        <f>IF(C22="","",IF(C22&gt;5,Data!B14*C22*Data!H14,Data!B14*C22*HLOOKUP(C22,Data!$C$3:$H$14,12,FALSE)))</f>
        <v/>
      </c>
      <c r="E22" s="30"/>
    </row>
    <row r="23" spans="2:5" s="37" customFormat="1" x14ac:dyDescent="0.25">
      <c r="B23" s="35" t="s">
        <v>8</v>
      </c>
      <c r="C23" s="54"/>
      <c r="D23" s="34" t="str">
        <f>IF(C23="","",IF(C23&gt;5,Data!B15*C23*Data!H15,Data!B15*C23*HLOOKUP(C23,Data!$C$3:$H$15,13,FALSE)))</f>
        <v/>
      </c>
      <c r="E23" s="36"/>
    </row>
    <row r="24" spans="2:5" x14ac:dyDescent="0.25">
      <c r="B24" s="33" t="s">
        <v>73</v>
      </c>
      <c r="C24" s="54"/>
      <c r="D24" s="34" t="str">
        <f>IF(C24="","",IF(C24&gt;5,Data!B16*C24*Data!H16,Data!B16*C24*HLOOKUP(C24,Data!$C$3:$H$16,14,FALSE)))</f>
        <v/>
      </c>
      <c r="E24" s="30"/>
    </row>
    <row r="25" spans="2:5" x14ac:dyDescent="0.25">
      <c r="B25" s="33" t="s">
        <v>12</v>
      </c>
      <c r="C25" s="54"/>
      <c r="D25" s="34" t="str">
        <f>IF(C25="","",IF(C25&gt;5,Data!B17*C25*Data!H17,Data!B17*C25*HLOOKUP(C25,Data!$C$3:$H$17,15,FALSE)))</f>
        <v/>
      </c>
      <c r="E25" s="30"/>
    </row>
    <row r="26" spans="2:5" x14ac:dyDescent="0.25">
      <c r="B26" s="33" t="s">
        <v>13</v>
      </c>
      <c r="C26" s="54"/>
      <c r="D26" s="34" t="str">
        <f>IF(C26="","",IF(C26&gt;5,Data!B18*C26*Data!H18,Data!B18*C26*HLOOKUP(C26,Data!$C$3:$H$18,16,FALSE)))</f>
        <v/>
      </c>
      <c r="E26" s="30"/>
    </row>
    <row r="27" spans="2:5" x14ac:dyDescent="0.25">
      <c r="B27" s="33" t="s">
        <v>74</v>
      </c>
      <c r="C27" s="54"/>
      <c r="D27" s="34" t="str">
        <f>IF(C27="","",IF(C27&gt;5,Data!B19*C27*Data!H19,Data!B19*C27*HLOOKUP(C27,Data!$C$3:$H$19,17,FALSE)))</f>
        <v/>
      </c>
      <c r="E27" s="30"/>
    </row>
    <row r="28" spans="2:5" x14ac:dyDescent="0.25">
      <c r="B28" s="33" t="s">
        <v>75</v>
      </c>
      <c r="C28" s="54"/>
      <c r="D28" s="34" t="str">
        <f>IF(C28="","",IF(C28&gt;5,Data!B20*C28*Data!H20,Data!B20*C28*HLOOKUP(C28,Data!$C$3:$H$20,18,FALSE)))</f>
        <v/>
      </c>
      <c r="E28" s="30"/>
    </row>
    <row r="29" spans="2:5" ht="15.75" thickBot="1" x14ac:dyDescent="0.3">
      <c r="B29" s="38" t="s">
        <v>18</v>
      </c>
      <c r="C29" s="55"/>
      <c r="D29" s="39" t="str">
        <f>IF(C29="","",IF(C29&gt;5,Data!B21*C29*Data!H21,Data!B21*C29*HLOOKUP(C29,Data!$C$3:$H$21,19,FALSE)))</f>
        <v/>
      </c>
      <c r="E29" s="30"/>
    </row>
    <row r="30" spans="2:5" ht="15.75" thickBot="1" x14ac:dyDescent="0.3">
      <c r="B30" s="31"/>
      <c r="C30" s="30"/>
      <c r="D30" s="40"/>
      <c r="E30" s="30"/>
    </row>
    <row r="31" spans="2:5" ht="15.75" thickBot="1" x14ac:dyDescent="0.3">
      <c r="B31" s="29" t="s">
        <v>76</v>
      </c>
      <c r="C31" s="90" t="s">
        <v>42</v>
      </c>
      <c r="D31" s="89" t="s">
        <v>44</v>
      </c>
      <c r="E31" s="41"/>
    </row>
    <row r="32" spans="2:5" ht="15.75" thickBot="1" x14ac:dyDescent="0.3">
      <c r="B32" s="42" t="s">
        <v>77</v>
      </c>
      <c r="C32" s="56"/>
      <c r="D32" s="43" t="str">
        <f>IF(C32="","",IF(C32="&gt; 60 grader",1.3,1))</f>
        <v/>
      </c>
      <c r="E32" s="30"/>
    </row>
    <row r="33" spans="1:5" ht="15.75" thickBot="1" x14ac:dyDescent="0.3">
      <c r="B33" s="31"/>
      <c r="C33" s="30"/>
      <c r="D33" s="40"/>
      <c r="E33" s="30"/>
    </row>
    <row r="34" spans="1:5" ht="15.75" thickBot="1" x14ac:dyDescent="0.3">
      <c r="B34" s="29" t="s">
        <v>78</v>
      </c>
      <c r="C34" s="90" t="s">
        <v>42</v>
      </c>
      <c r="D34" s="89" t="s">
        <v>44</v>
      </c>
      <c r="E34" s="30"/>
    </row>
    <row r="35" spans="1:5" ht="15.75" thickBot="1" x14ac:dyDescent="0.3">
      <c r="B35" s="44" t="s">
        <v>79</v>
      </c>
      <c r="C35" s="57"/>
      <c r="D35" s="43" t="str">
        <f>IF(C35="","",IF(C35="&gt; 0,94 g/cm3",1.5,1))</f>
        <v/>
      </c>
      <c r="E35" s="41"/>
    </row>
    <row r="36" spans="1:5" ht="15.75" thickBot="1" x14ac:dyDescent="0.3">
      <c r="B36" s="31"/>
      <c r="C36" s="30"/>
      <c r="D36" s="40"/>
      <c r="E36" s="30"/>
    </row>
    <row r="37" spans="1:5" ht="15.75" thickBot="1" x14ac:dyDescent="0.3">
      <c r="B37" s="29" t="s">
        <v>80</v>
      </c>
      <c r="C37" s="90" t="s">
        <v>42</v>
      </c>
      <c r="D37" s="89" t="s">
        <v>44</v>
      </c>
      <c r="E37" s="30"/>
    </row>
    <row r="38" spans="1:5" ht="15.75" thickBot="1" x14ac:dyDescent="0.3">
      <c r="B38" s="26" t="s">
        <v>81</v>
      </c>
      <c r="C38" s="58"/>
      <c r="D38" s="45" t="str">
        <f>IF(C38="","",VLOOKUP(C38,Data!$A$32:$B$34,2,FALSE))</f>
        <v/>
      </c>
      <c r="E38" s="30"/>
    </row>
    <row r="39" spans="1:5" ht="16.5" thickTop="1" thickBot="1" x14ac:dyDescent="0.3"/>
    <row r="40" spans="1:5" ht="20.25" thickTop="1" thickBot="1" x14ac:dyDescent="0.35">
      <c r="B40" s="46" t="s">
        <v>118</v>
      </c>
      <c r="C40" s="47" t="s">
        <v>33</v>
      </c>
      <c r="D40" s="96" t="str">
        <f>IFERROR(SUM(D13:D29)*D32*D35*D38,"")</f>
        <v/>
      </c>
    </row>
    <row r="41" spans="1:5" ht="16.5" thickTop="1" thickBot="1" x14ac:dyDescent="0.3"/>
    <row r="42" spans="1:5" ht="19.5" thickTop="1" x14ac:dyDescent="0.3">
      <c r="B42" s="48" t="s">
        <v>116</v>
      </c>
      <c r="C42" s="49" t="s">
        <v>41</v>
      </c>
      <c r="D42" s="93" t="str">
        <f>IF(D40&lt;=1,1,IF(D40&lt;=2,2,IF(D40&lt;=3,3,IF(D40&lt;=4,4,IF(D40&lt;=7,7,IF(D40&lt;=10,10,IF(D40&lt;=15,15,IF(D40&lt;=20,20,IF(D40&lt;=25,25,IF(D40&lt;=30,30,IF(D40&lt;=35,35,IF(D40&lt;=40,40,IF(D40&lt;=45,45,IF(D40&lt;=50,50,""))))))))))))))</f>
        <v/>
      </c>
    </row>
    <row r="43" spans="1:5" ht="19.5" thickBot="1" x14ac:dyDescent="0.35">
      <c r="B43" s="50" t="s">
        <v>119</v>
      </c>
      <c r="C43" s="51" t="s">
        <v>45</v>
      </c>
      <c r="D43" s="94" t="str">
        <f>IFERROR(D40*100,"")</f>
        <v/>
      </c>
    </row>
    <row r="44" spans="1:5" ht="15.75" thickTop="1" x14ac:dyDescent="0.25"/>
    <row r="45" spans="1:5" x14ac:dyDescent="0.25">
      <c r="A45" s="52" t="s">
        <v>123</v>
      </c>
    </row>
    <row r="46" spans="1:5" x14ac:dyDescent="0.25">
      <c r="A46" s="52" t="s">
        <v>46</v>
      </c>
    </row>
    <row r="47" spans="1:5" x14ac:dyDescent="0.25">
      <c r="A47" s="52" t="s">
        <v>122</v>
      </c>
    </row>
  </sheetData>
  <sheetProtection algorithmName="SHA-512" hashValue="17R3NRv2aTQ8Q78AbZlmy59vVRo69l4JW8lMqVhy+jCqIW3unzoHqAT5H7YyQycZTU36Fmp9aAqKs+6czz61xg==" saltValue="Ib/deE7sKDhQy5N0s8silg==" spinCount="100000" sheet="1" selectLockedCells="1"/>
  <mergeCells count="4">
    <mergeCell ref="B11:D11"/>
    <mergeCell ref="A6:E6"/>
    <mergeCell ref="C8:D8"/>
    <mergeCell ref="C9:D9"/>
  </mergeCells>
  <dataValidations count="4">
    <dataValidation type="list" allowBlank="1" showInputMessage="1" showErrorMessage="1" sqref="C13:C29" xr:uid="{00FC511B-D260-411D-89A6-46A77BA66590}">
      <formula1>"1,2,3,4,5,6,7,8,9,10"</formula1>
    </dataValidation>
    <dataValidation type="list" allowBlank="1" showInputMessage="1" showErrorMessage="1" sqref="C35" xr:uid="{0ED36C39-8E0A-4EAF-AAD3-62AA1FA6D02F}">
      <mc:AlternateContent xmlns:x12ac="http://schemas.microsoft.com/office/spreadsheetml/2011/1/ac" xmlns:mc="http://schemas.openxmlformats.org/markup-compatibility/2006">
        <mc:Choice Requires="x12ac">
          <x12ac:list>"≤ 0,94 g/cm3","&gt; 0,94 g/cm3"</x12ac:list>
        </mc:Choice>
        <mc:Fallback>
          <formula1>"≤ 0,94 g/cm3,&gt; 0,94 g/cm3"</formula1>
        </mc:Fallback>
      </mc:AlternateContent>
    </dataValidation>
    <dataValidation type="list" allowBlank="1" showInputMessage="1" showErrorMessage="1" sqref="C38" xr:uid="{72F63FAD-99A3-4D94-BB97-B399A935CB5C}">
      <formula1>"Aldrig,Alm. Brug,Spec. Brug"</formula1>
    </dataValidation>
    <dataValidation type="list" allowBlank="1" showInputMessage="1" showErrorMessage="1" sqref="C32" xr:uid="{C0D84E9D-210F-42E3-B7C6-CA5AF36827A1}">
      <formula1>"≤ 60 grader,&gt; 60 grader"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3865-4524-4AAB-9773-0C222D7812EB}">
  <dimension ref="A6:K40"/>
  <sheetViews>
    <sheetView zoomScaleNormal="100" workbookViewId="0">
      <selection activeCell="C8" sqref="C8:D8"/>
    </sheetView>
  </sheetViews>
  <sheetFormatPr defaultRowHeight="15" x14ac:dyDescent="0.25"/>
  <cols>
    <col min="2" max="2" width="38.85546875" customWidth="1"/>
    <col min="3" max="3" width="20" bestFit="1" customWidth="1"/>
    <col min="4" max="4" width="14" customWidth="1"/>
  </cols>
  <sheetData>
    <row r="6" spans="1:7" ht="18.75" x14ac:dyDescent="0.3">
      <c r="A6" s="101" t="s">
        <v>71</v>
      </c>
      <c r="B6" s="101"/>
      <c r="C6" s="101"/>
      <c r="D6" s="101"/>
      <c r="E6" s="101"/>
      <c r="F6" s="23"/>
      <c r="G6" s="23"/>
    </row>
    <row r="7" spans="1:7" ht="15.75" thickBot="1" x14ac:dyDescent="0.3"/>
    <row r="8" spans="1:7" ht="15.75" thickTop="1" x14ac:dyDescent="0.25">
      <c r="B8" s="25" t="s">
        <v>47</v>
      </c>
      <c r="C8" s="102"/>
      <c r="D8" s="103"/>
    </row>
    <row r="9" spans="1:7" ht="16.5" thickBot="1" x14ac:dyDescent="0.3">
      <c r="B9" s="26" t="s">
        <v>48</v>
      </c>
      <c r="C9" s="106"/>
      <c r="D9" s="107"/>
    </row>
    <row r="10" spans="1:7" ht="16.5" thickTop="1" thickBot="1" x14ac:dyDescent="0.3"/>
    <row r="11" spans="1:7" ht="20.25" thickTop="1" thickBot="1" x14ac:dyDescent="0.35">
      <c r="B11" s="108" t="s">
        <v>117</v>
      </c>
      <c r="C11" s="109"/>
      <c r="D11" s="110"/>
    </row>
    <row r="12" spans="1:7" ht="15.75" thickBot="1" x14ac:dyDescent="0.3">
      <c r="B12" s="63" t="s">
        <v>50</v>
      </c>
      <c r="C12" s="91" t="s">
        <v>49</v>
      </c>
      <c r="D12" s="92" t="s">
        <v>33</v>
      </c>
    </row>
    <row r="13" spans="1:7" x14ac:dyDescent="0.25">
      <c r="B13" s="77" t="s">
        <v>26</v>
      </c>
      <c r="C13" s="81"/>
      <c r="D13" s="84" t="str">
        <f>IFERROR((VLOOKUP('Dimensionering - Metode C'!C13,Data!$A$39:$B$43,2,FALSE)*C19*VLOOKUP(C13,Data!$A$47:$B$51,2,FALSE))/(3600*'Dimensionering - Metode C'!C22),"")</f>
        <v/>
      </c>
    </row>
    <row r="14" spans="1:7" x14ac:dyDescent="0.25">
      <c r="B14" s="3" t="s">
        <v>65</v>
      </c>
      <c r="C14" s="53"/>
      <c r="D14" s="80" t="str">
        <f>IFERROR((D15*VLOOKUP(C14,Data!$A$59:$B$61,2,FALSE)*VLOOKUP('Dimensionering - Metode C'!C14,Data!$A$53:$B$55,2,FALSE))/(3600*'Dimensionering - Metode C'!C22),"")</f>
        <v/>
      </c>
    </row>
    <row r="15" spans="1:7" x14ac:dyDescent="0.25">
      <c r="B15" s="59" t="s">
        <v>68</v>
      </c>
      <c r="C15" s="53"/>
      <c r="D15" s="79">
        <f>C15*100/5</f>
        <v>0</v>
      </c>
    </row>
    <row r="16" spans="1:7" ht="15.75" thickBot="1" x14ac:dyDescent="0.3">
      <c r="B16" s="75" t="s">
        <v>66</v>
      </c>
      <c r="C16" s="18"/>
      <c r="D16" s="76"/>
    </row>
    <row r="17" spans="2:11" ht="15.75" thickBot="1" x14ac:dyDescent="0.3">
      <c r="B17" s="3"/>
      <c r="C17" s="7"/>
      <c r="D17" s="2"/>
    </row>
    <row r="18" spans="2:11" ht="15.75" thickBot="1" x14ac:dyDescent="0.3">
      <c r="B18" s="63" t="s">
        <v>51</v>
      </c>
      <c r="C18" s="91" t="s">
        <v>15</v>
      </c>
      <c r="D18" s="64"/>
    </row>
    <row r="19" spans="2:11" ht="15.75" thickBot="1" x14ac:dyDescent="0.3">
      <c r="B19" s="62" t="s">
        <v>51</v>
      </c>
      <c r="C19" s="56"/>
      <c r="D19" s="61"/>
    </row>
    <row r="20" spans="2:11" ht="15.75" thickBot="1" x14ac:dyDescent="0.3">
      <c r="B20" s="59"/>
      <c r="C20" s="7"/>
      <c r="D20" s="2"/>
    </row>
    <row r="21" spans="2:11" ht="15.75" thickBot="1" x14ac:dyDescent="0.3">
      <c r="B21" s="63" t="s">
        <v>52</v>
      </c>
      <c r="C21" s="91" t="s">
        <v>15</v>
      </c>
      <c r="D21" s="64"/>
    </row>
    <row r="22" spans="2:11" ht="15.75" thickBot="1" x14ac:dyDescent="0.3">
      <c r="B22" s="60" t="s">
        <v>52</v>
      </c>
      <c r="C22" s="57"/>
      <c r="D22" s="64"/>
    </row>
    <row r="23" spans="2:11" ht="15.75" thickBot="1" x14ac:dyDescent="0.3">
      <c r="B23" s="1"/>
      <c r="C23" s="7"/>
      <c r="D23" s="2"/>
    </row>
    <row r="24" spans="2:11" ht="15.75" thickBot="1" x14ac:dyDescent="0.3">
      <c r="B24" s="29" t="s">
        <v>76</v>
      </c>
      <c r="C24" s="91" t="s">
        <v>42</v>
      </c>
      <c r="D24" s="92" t="s">
        <v>44</v>
      </c>
      <c r="K24" s="83"/>
    </row>
    <row r="25" spans="2:11" ht="15.75" thickBot="1" x14ac:dyDescent="0.3">
      <c r="B25" s="42" t="s">
        <v>77</v>
      </c>
      <c r="C25" s="56"/>
      <c r="D25" s="61" t="str">
        <f>IF(C25="","",IF(C25="&gt; 60 grader",1.3,1))</f>
        <v/>
      </c>
    </row>
    <row r="26" spans="2:11" ht="15.75" thickBot="1" x14ac:dyDescent="0.3">
      <c r="B26" s="3"/>
      <c r="C26" s="7"/>
      <c r="D26" s="2"/>
    </row>
    <row r="27" spans="2:11" ht="15.75" thickBot="1" x14ac:dyDescent="0.3">
      <c r="B27" s="29" t="s">
        <v>78</v>
      </c>
      <c r="C27" s="91" t="s">
        <v>42</v>
      </c>
      <c r="D27" s="92" t="s">
        <v>44</v>
      </c>
    </row>
    <row r="28" spans="2:11" ht="15.75" thickBot="1" x14ac:dyDescent="0.3">
      <c r="B28" s="44" t="s">
        <v>79</v>
      </c>
      <c r="C28" s="56"/>
      <c r="D28" s="61" t="str">
        <f>IF(C28="","",IF(C28="&gt; 0,94 g/cm3",1.5,1))</f>
        <v/>
      </c>
    </row>
    <row r="29" spans="2:11" ht="15.75" thickBot="1" x14ac:dyDescent="0.3">
      <c r="B29" s="3"/>
      <c r="C29" s="7"/>
      <c r="D29" s="2"/>
    </row>
    <row r="30" spans="2:11" ht="15.75" thickBot="1" x14ac:dyDescent="0.3">
      <c r="B30" s="29" t="s">
        <v>80</v>
      </c>
      <c r="C30" s="91" t="s">
        <v>42</v>
      </c>
      <c r="D30" s="92" t="s">
        <v>44</v>
      </c>
    </row>
    <row r="31" spans="2:11" ht="15.75" thickBot="1" x14ac:dyDescent="0.3">
      <c r="B31" s="26" t="s">
        <v>81</v>
      </c>
      <c r="C31" s="82"/>
      <c r="D31" s="65" t="str">
        <f>IF(C31="","",VLOOKUP(C31,Data!$A$32:$B$34,2,FALSE))</f>
        <v/>
      </c>
    </row>
    <row r="32" spans="2:11" ht="16.5" thickTop="1" thickBot="1" x14ac:dyDescent="0.3">
      <c r="G32" s="83"/>
    </row>
    <row r="33" spans="1:4" ht="20.25" thickTop="1" thickBot="1" x14ac:dyDescent="0.35">
      <c r="B33" s="46" t="s">
        <v>118</v>
      </c>
      <c r="C33" s="47" t="s">
        <v>33</v>
      </c>
      <c r="D33" s="95" t="str">
        <f>IFERROR(IF(C13="",D14*D25*D28*D31,D13*D25*D28*D31),"")</f>
        <v/>
      </c>
    </row>
    <row r="34" spans="1:4" ht="16.5" thickTop="1" thickBot="1" x14ac:dyDescent="0.3">
      <c r="B34" s="24"/>
      <c r="C34" s="24"/>
      <c r="D34" s="78"/>
    </row>
    <row r="35" spans="1:4" ht="19.5" thickTop="1" x14ac:dyDescent="0.3">
      <c r="B35" s="48" t="s">
        <v>82</v>
      </c>
      <c r="C35" s="49" t="s">
        <v>41</v>
      </c>
      <c r="D35" s="93" t="str">
        <f>IF(D33&lt;=1,1,IF(D33&lt;=2,2,IF(D33&lt;=3,3,IF(D33&lt;=4,4,IF(D33&lt;=7,7,IF(D33&lt;=10,10,IF(D33&lt;=15,15,IF(D33&lt;=20,20,IF(D33&lt;=25,25,IF(D33&lt;=30,30,IF(D33&lt;=35,35,IF(D33&lt;=40,40,IF(D33&lt;=45,45,IF(D33&lt;=50,50,""))))))))))))))</f>
        <v/>
      </c>
    </row>
    <row r="36" spans="1:4" ht="19.5" thickBot="1" x14ac:dyDescent="0.35">
      <c r="B36" s="50" t="s">
        <v>120</v>
      </c>
      <c r="C36" s="51" t="s">
        <v>45</v>
      </c>
      <c r="D36" s="94" t="str">
        <f>IFERROR(IF(C13="",D33*200,D33*100),"")</f>
        <v/>
      </c>
    </row>
    <row r="37" spans="1:4" ht="15.75" thickTop="1" x14ac:dyDescent="0.25"/>
    <row r="38" spans="1:4" x14ac:dyDescent="0.25">
      <c r="A38" s="52" t="s">
        <v>121</v>
      </c>
    </row>
    <row r="39" spans="1:4" x14ac:dyDescent="0.25">
      <c r="A39" s="52" t="s">
        <v>46</v>
      </c>
    </row>
    <row r="40" spans="1:4" x14ac:dyDescent="0.25">
      <c r="A40" s="52" t="s">
        <v>122</v>
      </c>
    </row>
  </sheetData>
  <sheetProtection algorithmName="SHA-512" hashValue="/jGAtihirnXWZIRGROBoiFhWord2EuvrvhLAYm4oJsfdhMfKW7ES9IvheHDphA5lJlCDxTNYGW3Evgc5UstmpQ==" saltValue="fdERrBx9PRgcAJXN2n4JFw==" spinCount="100000" sheet="1" selectLockedCells="1"/>
  <mergeCells count="4">
    <mergeCell ref="A6:E6"/>
    <mergeCell ref="C8:D8"/>
    <mergeCell ref="C9:D9"/>
    <mergeCell ref="B11:D11"/>
  </mergeCells>
  <dataValidations count="7">
    <dataValidation type="list" allowBlank="1" showInputMessage="1" showErrorMessage="1" sqref="C13" xr:uid="{DCD409F9-5657-4F31-B64A-92F03897483A}">
      <formula1>"Hotel,Restaurant,Sygehus,Storkøkken (24 t.),Kantine"</formula1>
    </dataValidation>
    <dataValidation type="list" allowBlank="1" showInputMessage="1" showErrorMessage="1" sqref="C28" xr:uid="{D41529A6-12C6-4082-8D37-32A45A43D6F6}">
      <mc:AlternateContent xmlns:x12ac="http://schemas.microsoft.com/office/spreadsheetml/2011/1/ac" xmlns:mc="http://schemas.openxmlformats.org/markup-compatibility/2006">
        <mc:Choice Requires="x12ac">
          <x12ac:list>"≤ 0,94 g/cm3","&gt; 0,94 g/cm3"</x12ac:list>
        </mc:Choice>
        <mc:Fallback>
          <formula1>"≤ 0,94 g/cm3,&gt; 0,94 g/cm3"</formula1>
        </mc:Fallback>
      </mc:AlternateContent>
    </dataValidation>
    <dataValidation type="list" allowBlank="1" showInputMessage="1" showErrorMessage="1" sqref="C31" xr:uid="{8845D057-81C0-4163-97BD-1DC3AA47B4D6}">
      <formula1>"Aldrig,Alm. Brug,Spec. Brug"</formula1>
    </dataValidation>
    <dataValidation type="list" allowBlank="1" showInputMessage="1" showErrorMessage="1" sqref="C14" xr:uid="{02BBE15E-80EC-49C5-AAFC-05159124040F}">
      <mc:AlternateContent xmlns:x12ac="http://schemas.microsoft.com/office/spreadsheetml/2011/1/ac" xmlns:mc="http://schemas.openxmlformats.org/markup-compatibility/2006">
        <mc:Choice Requires="x12ac">
          <x12ac:list>"Lille, 0-5 GV/uge","Mellem, 6-10 GV/uge","Stor, 11-40 GV/uge"</x12ac:list>
        </mc:Choice>
        <mc:Fallback>
          <formula1>"Lille, 0-5 GV/uge,Mellem, 6-10 GV/uge,Stor, 11-40 GV/uge"</formula1>
        </mc:Fallback>
      </mc:AlternateContent>
    </dataValidation>
    <dataValidation type="whole" operator="greaterThan" allowBlank="1" showInputMessage="1" showErrorMessage="1" sqref="C19" xr:uid="{D0AFBEC1-4156-49D4-8960-81EBC5CFE666}">
      <formula1>0</formula1>
    </dataValidation>
    <dataValidation type="decimal" operator="greaterThan" allowBlank="1" showInputMessage="1" showErrorMessage="1" sqref="C22" xr:uid="{34E46995-B8B5-4B6C-AF5B-0801BD8B4620}">
      <formula1>0</formula1>
    </dataValidation>
    <dataValidation type="list" allowBlank="1" showInputMessage="1" showErrorMessage="1" sqref="C25" xr:uid="{4B1C75D4-6403-4B78-B9EC-3895CAC7A3D5}">
      <formula1>"≤ 60 grader,&gt; 60 grader"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9F40-E2CA-44C5-91B6-7DB8AE8425CD}">
  <dimension ref="A1:H70"/>
  <sheetViews>
    <sheetView topLeftCell="A52" workbookViewId="0">
      <selection activeCell="A52" sqref="A1:XFD1048576"/>
    </sheetView>
  </sheetViews>
  <sheetFormatPr defaultRowHeight="15" x14ac:dyDescent="0.25"/>
  <cols>
    <col min="1" max="1" width="33" bestFit="1" customWidth="1"/>
    <col min="2" max="2" width="22.140625" bestFit="1" customWidth="1"/>
  </cols>
  <sheetData>
    <row r="1" spans="1:8" ht="15.75" thickBot="1" x14ac:dyDescent="0.3"/>
    <row r="2" spans="1:8" x14ac:dyDescent="0.25">
      <c r="A2" s="111" t="s">
        <v>31</v>
      </c>
      <c r="B2" s="112"/>
      <c r="C2" s="112"/>
      <c r="D2" s="112"/>
      <c r="E2" s="112"/>
      <c r="F2" s="112"/>
      <c r="G2" s="112"/>
      <c r="H2" s="113"/>
    </row>
    <row r="3" spans="1:8" x14ac:dyDescent="0.25">
      <c r="A3" s="10" t="s">
        <v>32</v>
      </c>
      <c r="B3" s="8" t="s">
        <v>34</v>
      </c>
      <c r="C3" s="8">
        <v>0</v>
      </c>
      <c r="D3" s="8">
        <v>1</v>
      </c>
      <c r="E3" s="7">
        <v>2</v>
      </c>
      <c r="F3" s="20">
        <v>3</v>
      </c>
      <c r="G3" s="20">
        <v>4</v>
      </c>
      <c r="H3" s="11">
        <v>5</v>
      </c>
    </row>
    <row r="4" spans="1:8" x14ac:dyDescent="0.25">
      <c r="A4" s="10"/>
      <c r="B4" s="8" t="s">
        <v>33</v>
      </c>
      <c r="C4" s="8" t="s">
        <v>35</v>
      </c>
      <c r="D4" s="8" t="s">
        <v>36</v>
      </c>
      <c r="E4" s="8" t="s">
        <v>37</v>
      </c>
      <c r="F4" s="8" t="s">
        <v>38</v>
      </c>
      <c r="G4" s="8" t="s">
        <v>39</v>
      </c>
      <c r="H4" s="12" t="s">
        <v>40</v>
      </c>
    </row>
    <row r="5" spans="1:8" x14ac:dyDescent="0.25">
      <c r="A5" s="13" t="s">
        <v>0</v>
      </c>
      <c r="B5" s="9">
        <v>1</v>
      </c>
      <c r="C5" s="7">
        <v>0</v>
      </c>
      <c r="D5" s="7">
        <v>0.45</v>
      </c>
      <c r="E5" s="7">
        <v>0.31</v>
      </c>
      <c r="F5" s="7">
        <v>0.25</v>
      </c>
      <c r="G5" s="7">
        <v>0.21</v>
      </c>
      <c r="H5" s="11">
        <v>0.2</v>
      </c>
    </row>
    <row r="6" spans="1:8" x14ac:dyDescent="0.25">
      <c r="A6" s="13" t="s">
        <v>1</v>
      </c>
      <c r="B6" s="9">
        <v>2</v>
      </c>
      <c r="C6" s="7">
        <v>0</v>
      </c>
      <c r="D6" s="7">
        <v>0.45</v>
      </c>
      <c r="E6" s="7">
        <v>0.31</v>
      </c>
      <c r="F6" s="7">
        <v>0.25</v>
      </c>
      <c r="G6" s="7">
        <v>0.21</v>
      </c>
      <c r="H6" s="11">
        <v>0.2</v>
      </c>
    </row>
    <row r="7" spans="1:8" x14ac:dyDescent="0.25">
      <c r="A7" s="13" t="s">
        <v>2</v>
      </c>
      <c r="B7" s="9">
        <v>1</v>
      </c>
      <c r="C7" s="7">
        <v>0</v>
      </c>
      <c r="D7" s="7">
        <v>0.45</v>
      </c>
      <c r="E7" s="7">
        <v>0.31</v>
      </c>
      <c r="F7" s="7">
        <v>0.25</v>
      </c>
      <c r="G7" s="7">
        <v>0.21</v>
      </c>
      <c r="H7" s="11">
        <v>0.2</v>
      </c>
    </row>
    <row r="8" spans="1:8" x14ac:dyDescent="0.25">
      <c r="A8" s="13" t="s">
        <v>3</v>
      </c>
      <c r="B8" s="9">
        <v>3</v>
      </c>
      <c r="C8" s="7">
        <v>0</v>
      </c>
      <c r="D8" s="7">
        <v>0.45</v>
      </c>
      <c r="E8" s="7">
        <v>0.31</v>
      </c>
      <c r="F8" s="7">
        <v>0.25</v>
      </c>
      <c r="G8" s="7">
        <v>0.21</v>
      </c>
      <c r="H8" s="11">
        <v>0.2</v>
      </c>
    </row>
    <row r="9" spans="1:8" x14ac:dyDescent="0.25">
      <c r="A9" s="13" t="s">
        <v>9</v>
      </c>
      <c r="B9" s="9">
        <v>1</v>
      </c>
      <c r="C9" s="7">
        <v>0</v>
      </c>
      <c r="D9" s="7">
        <v>0.45</v>
      </c>
      <c r="E9" s="7">
        <v>0.31</v>
      </c>
      <c r="F9" s="7">
        <v>0.25</v>
      </c>
      <c r="G9" s="7">
        <v>0.21</v>
      </c>
      <c r="H9" s="11">
        <v>0.2</v>
      </c>
    </row>
    <row r="10" spans="1:8" x14ac:dyDescent="0.25">
      <c r="A10" s="13" t="s">
        <v>10</v>
      </c>
      <c r="B10" s="9">
        <v>0.1</v>
      </c>
      <c r="C10" s="7">
        <v>0</v>
      </c>
      <c r="D10" s="7">
        <v>0.45</v>
      </c>
      <c r="E10" s="7">
        <v>0.31</v>
      </c>
      <c r="F10" s="7">
        <v>0.25</v>
      </c>
      <c r="G10" s="7">
        <v>0.21</v>
      </c>
      <c r="H10" s="11">
        <v>0.2</v>
      </c>
    </row>
    <row r="11" spans="1:8" x14ac:dyDescent="0.25">
      <c r="A11" s="13" t="s">
        <v>4</v>
      </c>
      <c r="B11" s="9">
        <v>2.5</v>
      </c>
      <c r="C11" s="7">
        <v>0</v>
      </c>
      <c r="D11" s="7">
        <v>0.45</v>
      </c>
      <c r="E11" s="7">
        <v>0.31</v>
      </c>
      <c r="F11" s="7">
        <v>0.25</v>
      </c>
      <c r="G11" s="7">
        <v>0.21</v>
      </c>
      <c r="H11" s="11">
        <v>0.2</v>
      </c>
    </row>
    <row r="12" spans="1:8" x14ac:dyDescent="0.25">
      <c r="A12" s="13" t="s">
        <v>5</v>
      </c>
      <c r="B12" s="9">
        <v>4</v>
      </c>
      <c r="C12" s="7">
        <v>0</v>
      </c>
      <c r="D12" s="7">
        <v>0.45</v>
      </c>
      <c r="E12" s="7">
        <v>0.31</v>
      </c>
      <c r="F12" s="7">
        <v>0.25</v>
      </c>
      <c r="G12" s="7">
        <v>0.21</v>
      </c>
      <c r="H12" s="11">
        <v>0.2</v>
      </c>
    </row>
    <row r="13" spans="1:8" x14ac:dyDescent="0.25">
      <c r="A13" s="13" t="s">
        <v>6</v>
      </c>
      <c r="B13" s="9">
        <v>0.8</v>
      </c>
      <c r="C13" s="7">
        <v>0</v>
      </c>
      <c r="D13" s="7">
        <v>0.45</v>
      </c>
      <c r="E13" s="7">
        <v>0.31</v>
      </c>
      <c r="F13" s="7">
        <v>0.25</v>
      </c>
      <c r="G13" s="7">
        <v>0.21</v>
      </c>
      <c r="H13" s="11">
        <v>0.2</v>
      </c>
    </row>
    <row r="14" spans="1:8" x14ac:dyDescent="0.25">
      <c r="A14" s="13" t="s">
        <v>7</v>
      </c>
      <c r="B14" s="9">
        <v>1.5</v>
      </c>
      <c r="C14" s="7">
        <v>0</v>
      </c>
      <c r="D14" s="7">
        <v>0.45</v>
      </c>
      <c r="E14" s="7">
        <v>0.31</v>
      </c>
      <c r="F14" s="7">
        <v>0.25</v>
      </c>
      <c r="G14" s="7">
        <v>0.21</v>
      </c>
      <c r="H14" s="11">
        <v>0.2</v>
      </c>
    </row>
    <row r="15" spans="1:8" x14ac:dyDescent="0.25">
      <c r="A15" s="14" t="s">
        <v>8</v>
      </c>
      <c r="B15" s="9">
        <v>2</v>
      </c>
      <c r="C15" s="7">
        <v>0</v>
      </c>
      <c r="D15" s="9">
        <v>0.6</v>
      </c>
      <c r="E15" s="9">
        <v>0.45</v>
      </c>
      <c r="F15" s="9">
        <v>0.4</v>
      </c>
      <c r="G15" s="9">
        <v>0.34</v>
      </c>
      <c r="H15" s="15">
        <v>0.3</v>
      </c>
    </row>
    <row r="16" spans="1:8" x14ac:dyDescent="0.25">
      <c r="A16" s="13" t="s">
        <v>11</v>
      </c>
      <c r="B16" s="9">
        <v>2</v>
      </c>
      <c r="C16" s="7">
        <v>0</v>
      </c>
      <c r="D16" s="7">
        <v>0.45</v>
      </c>
      <c r="E16" s="7">
        <v>0.31</v>
      </c>
      <c r="F16" s="7">
        <v>0.25</v>
      </c>
      <c r="G16" s="7">
        <v>0.21</v>
      </c>
      <c r="H16" s="11">
        <v>0.2</v>
      </c>
    </row>
    <row r="17" spans="1:8" x14ac:dyDescent="0.25">
      <c r="A17" s="13" t="s">
        <v>12</v>
      </c>
      <c r="B17" s="9">
        <v>1.5</v>
      </c>
      <c r="C17" s="7">
        <v>0</v>
      </c>
      <c r="D17" s="7">
        <v>0.45</v>
      </c>
      <c r="E17" s="7">
        <v>0.31</v>
      </c>
      <c r="F17" s="7">
        <v>0.25</v>
      </c>
      <c r="G17" s="7">
        <v>0.21</v>
      </c>
      <c r="H17" s="11">
        <v>0.2</v>
      </c>
    </row>
    <row r="18" spans="1:8" x14ac:dyDescent="0.25">
      <c r="A18" s="13" t="s">
        <v>13</v>
      </c>
      <c r="B18" s="9">
        <v>2</v>
      </c>
      <c r="C18" s="7">
        <v>0</v>
      </c>
      <c r="D18" s="7">
        <v>0.45</v>
      </c>
      <c r="E18" s="7">
        <v>0.31</v>
      </c>
      <c r="F18" s="7">
        <v>0.25</v>
      </c>
      <c r="G18" s="7">
        <v>0.21</v>
      </c>
      <c r="H18" s="11">
        <v>0.2</v>
      </c>
    </row>
    <row r="19" spans="1:8" x14ac:dyDescent="0.25">
      <c r="A19" s="13" t="s">
        <v>16</v>
      </c>
      <c r="B19" s="9">
        <v>0.5</v>
      </c>
      <c r="C19" s="7">
        <v>0</v>
      </c>
      <c r="D19" s="7">
        <v>0.45</v>
      </c>
      <c r="E19" s="7">
        <v>0.31</v>
      </c>
      <c r="F19" s="7">
        <v>0.25</v>
      </c>
      <c r="G19" s="7">
        <v>0.21</v>
      </c>
      <c r="H19" s="11">
        <v>0.2</v>
      </c>
    </row>
    <row r="20" spans="1:8" x14ac:dyDescent="0.25">
      <c r="A20" s="13" t="s">
        <v>17</v>
      </c>
      <c r="B20" s="9">
        <v>1</v>
      </c>
      <c r="C20" s="7">
        <v>0</v>
      </c>
      <c r="D20" s="7">
        <v>0.45</v>
      </c>
      <c r="E20" s="7">
        <v>0.31</v>
      </c>
      <c r="F20" s="7">
        <v>0.25</v>
      </c>
      <c r="G20" s="7">
        <v>0.21</v>
      </c>
      <c r="H20" s="11">
        <v>0.2</v>
      </c>
    </row>
    <row r="21" spans="1:8" ht="15.75" thickBot="1" x14ac:dyDescent="0.3">
      <c r="A21" s="16" t="s">
        <v>18</v>
      </c>
      <c r="B21" s="17">
        <v>1.7</v>
      </c>
      <c r="C21" s="18">
        <v>0</v>
      </c>
      <c r="D21" s="18">
        <v>0.45</v>
      </c>
      <c r="E21" s="18">
        <v>0.31</v>
      </c>
      <c r="F21" s="18">
        <v>0.25</v>
      </c>
      <c r="G21" s="18">
        <v>0.21</v>
      </c>
      <c r="H21" s="19">
        <v>0.2</v>
      </c>
    </row>
    <row r="22" spans="1:8" ht="15.75" thickBot="1" x14ac:dyDescent="0.3"/>
    <row r="23" spans="1:8" ht="15.75" thickTop="1" x14ac:dyDescent="0.25">
      <c r="A23" s="21" t="s">
        <v>19</v>
      </c>
      <c r="B23" s="22" t="s">
        <v>43</v>
      </c>
    </row>
    <row r="24" spans="1:8" x14ac:dyDescent="0.25">
      <c r="A24" s="3" t="s">
        <v>20</v>
      </c>
      <c r="B24" s="2">
        <v>1</v>
      </c>
    </row>
    <row r="25" spans="1:8" x14ac:dyDescent="0.25">
      <c r="A25" s="3" t="s">
        <v>21</v>
      </c>
      <c r="B25" s="2">
        <v>1.3</v>
      </c>
    </row>
    <row r="26" spans="1:8" x14ac:dyDescent="0.25">
      <c r="A26" s="3"/>
      <c r="B26" s="2"/>
    </row>
    <row r="27" spans="1:8" x14ac:dyDescent="0.25">
      <c r="A27" s="1" t="s">
        <v>22</v>
      </c>
      <c r="B27" s="6" t="s">
        <v>43</v>
      </c>
    </row>
    <row r="28" spans="1:8" x14ac:dyDescent="0.25">
      <c r="A28" s="3" t="s">
        <v>23</v>
      </c>
      <c r="B28" s="2">
        <v>1</v>
      </c>
    </row>
    <row r="29" spans="1:8" x14ac:dyDescent="0.25">
      <c r="A29" s="3" t="s">
        <v>24</v>
      </c>
      <c r="B29" s="2">
        <v>1.5</v>
      </c>
    </row>
    <row r="30" spans="1:8" x14ac:dyDescent="0.25">
      <c r="A30" s="3"/>
      <c r="B30" s="2"/>
    </row>
    <row r="31" spans="1:8" x14ac:dyDescent="0.25">
      <c r="A31" s="1" t="s">
        <v>25</v>
      </c>
      <c r="B31" s="6" t="s">
        <v>43</v>
      </c>
    </row>
    <row r="32" spans="1:8" x14ac:dyDescent="0.25">
      <c r="A32" s="3" t="s">
        <v>53</v>
      </c>
      <c r="B32" s="2">
        <v>1</v>
      </c>
    </row>
    <row r="33" spans="1:2" x14ac:dyDescent="0.25">
      <c r="A33" s="3" t="s">
        <v>54</v>
      </c>
      <c r="B33" s="2">
        <v>1.3</v>
      </c>
    </row>
    <row r="34" spans="1:2" ht="15.75" thickBot="1" x14ac:dyDescent="0.3">
      <c r="A34" s="4" t="s">
        <v>55</v>
      </c>
      <c r="B34" s="5">
        <v>1.5</v>
      </c>
    </row>
    <row r="35" spans="1:2" ht="15.75" thickTop="1" x14ac:dyDescent="0.25"/>
    <row r="36" spans="1:2" ht="15.75" thickBot="1" x14ac:dyDescent="0.3"/>
    <row r="37" spans="1:2" ht="15.75" thickBot="1" x14ac:dyDescent="0.3">
      <c r="A37" s="68" t="s">
        <v>56</v>
      </c>
      <c r="B37" s="69"/>
    </row>
    <row r="38" spans="1:2" x14ac:dyDescent="0.25">
      <c r="A38" s="66" t="s">
        <v>57</v>
      </c>
      <c r="B38" s="67" t="s">
        <v>58</v>
      </c>
    </row>
    <row r="39" spans="1:2" x14ac:dyDescent="0.25">
      <c r="A39" s="13" t="s">
        <v>27</v>
      </c>
      <c r="B39" s="11">
        <v>100</v>
      </c>
    </row>
    <row r="40" spans="1:2" x14ac:dyDescent="0.25">
      <c r="A40" s="13" t="s">
        <v>28</v>
      </c>
      <c r="B40" s="11">
        <v>50</v>
      </c>
    </row>
    <row r="41" spans="1:2" x14ac:dyDescent="0.25">
      <c r="A41" s="13" t="s">
        <v>29</v>
      </c>
      <c r="B41" s="11">
        <v>20</v>
      </c>
    </row>
    <row r="42" spans="1:2" x14ac:dyDescent="0.25">
      <c r="A42" s="13" t="s">
        <v>69</v>
      </c>
      <c r="B42" s="11">
        <v>10</v>
      </c>
    </row>
    <row r="43" spans="1:2" ht="15.75" thickBot="1" x14ac:dyDescent="0.3">
      <c r="A43" s="16" t="s">
        <v>30</v>
      </c>
      <c r="B43" s="19">
        <v>5</v>
      </c>
    </row>
    <row r="44" spans="1:2" ht="15.75" thickBot="1" x14ac:dyDescent="0.3"/>
    <row r="45" spans="1:2" ht="15.75" thickBot="1" x14ac:dyDescent="0.3">
      <c r="A45" s="68" t="s">
        <v>59</v>
      </c>
      <c r="B45" s="69"/>
    </row>
    <row r="46" spans="1:2" x14ac:dyDescent="0.25">
      <c r="A46" s="66" t="s">
        <v>57</v>
      </c>
      <c r="B46" s="67" t="s">
        <v>60</v>
      </c>
    </row>
    <row r="47" spans="1:2" x14ac:dyDescent="0.25">
      <c r="A47" s="13" t="s">
        <v>27</v>
      </c>
      <c r="B47" s="11">
        <v>5</v>
      </c>
    </row>
    <row r="48" spans="1:2" x14ac:dyDescent="0.25">
      <c r="A48" s="13" t="s">
        <v>28</v>
      </c>
      <c r="B48" s="11">
        <v>8.5</v>
      </c>
    </row>
    <row r="49" spans="1:2" x14ac:dyDescent="0.25">
      <c r="A49" s="13" t="s">
        <v>29</v>
      </c>
      <c r="B49" s="11">
        <v>13</v>
      </c>
    </row>
    <row r="50" spans="1:2" x14ac:dyDescent="0.25">
      <c r="A50" s="13" t="s">
        <v>69</v>
      </c>
      <c r="B50" s="11">
        <v>22</v>
      </c>
    </row>
    <row r="51" spans="1:2" ht="15.75" thickBot="1" x14ac:dyDescent="0.3">
      <c r="A51" s="16" t="s">
        <v>30</v>
      </c>
      <c r="B51" s="19">
        <v>20</v>
      </c>
    </row>
    <row r="52" spans="1:2" x14ac:dyDescent="0.25">
      <c r="A52" s="72" t="s">
        <v>61</v>
      </c>
      <c r="B52" s="67" t="s">
        <v>60</v>
      </c>
    </row>
    <row r="53" spans="1:2" x14ac:dyDescent="0.25">
      <c r="A53" s="70" t="s">
        <v>70</v>
      </c>
      <c r="B53" s="71">
        <v>30</v>
      </c>
    </row>
    <row r="54" spans="1:2" x14ac:dyDescent="0.25">
      <c r="A54" s="70" t="s">
        <v>62</v>
      </c>
      <c r="B54" s="71">
        <v>35</v>
      </c>
    </row>
    <row r="55" spans="1:2" ht="15.75" thickBot="1" x14ac:dyDescent="0.3">
      <c r="A55" s="73" t="s">
        <v>63</v>
      </c>
      <c r="B55" s="74">
        <v>40</v>
      </c>
    </row>
    <row r="56" spans="1:2" ht="15.75" thickBot="1" x14ac:dyDescent="0.3"/>
    <row r="57" spans="1:2" ht="15.75" thickBot="1" x14ac:dyDescent="0.3">
      <c r="A57" s="68" t="s">
        <v>67</v>
      </c>
      <c r="B57" s="69"/>
    </row>
    <row r="58" spans="1:2" x14ac:dyDescent="0.25">
      <c r="A58" s="72" t="s">
        <v>61</v>
      </c>
      <c r="B58" s="67" t="s">
        <v>64</v>
      </c>
    </row>
    <row r="59" spans="1:2" x14ac:dyDescent="0.25">
      <c r="A59" s="70" t="s">
        <v>70</v>
      </c>
      <c r="B59" s="71">
        <v>20</v>
      </c>
    </row>
    <row r="60" spans="1:2" x14ac:dyDescent="0.25">
      <c r="A60" s="70" t="s">
        <v>62</v>
      </c>
      <c r="B60" s="71">
        <v>15</v>
      </c>
    </row>
    <row r="61" spans="1:2" ht="15.75" thickBot="1" x14ac:dyDescent="0.3">
      <c r="A61" s="73" t="s">
        <v>63</v>
      </c>
      <c r="B61" s="74">
        <v>10</v>
      </c>
    </row>
    <row r="70" spans="1:1" x14ac:dyDescent="0.25">
      <c r="A70" s="114"/>
    </row>
  </sheetData>
  <sheetProtection algorithmName="SHA-512" hashValue="ni3BXrwpnw/W99L8DPBkX5EAmT0OMxPzfXZqhv1KTmdWOlrLeo3FfE8XrskSqnDt/Cq4fg9O3M5bkOFbHy/C7Q==" saltValue="Hk8tc9AJ9sI8c+Sj/8cVlw==" spinCount="100000" sheet="1" objects="1" scenarios="1" selectLockedCells="1" selectUnlockedCells="1"/>
  <mergeCells count="1">
    <mergeCell ref="A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Forudsætninger</vt:lpstr>
      <vt:lpstr>Dimensionering - Metode B</vt:lpstr>
      <vt:lpstr>Dimensionering - Metode C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Ising Drost Hansen</dc:creator>
  <cp:lastModifiedBy>John Ising Drost Hansen</cp:lastModifiedBy>
  <cp:lastPrinted>2021-02-11T13:27:43Z</cp:lastPrinted>
  <dcterms:created xsi:type="dcterms:W3CDTF">2021-01-11T14:02:37Z</dcterms:created>
  <dcterms:modified xsi:type="dcterms:W3CDTF">2021-02-17T06:38:58Z</dcterms:modified>
</cp:coreProperties>
</file>